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showInkAnnotation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christina.gilbert/Desktop/"/>
    </mc:Choice>
  </mc:AlternateContent>
  <xr:revisionPtr revIDLastSave="0" documentId="8_{FD082708-5F76-A54B-81E1-B1C0595D9DB3}" xr6:coauthVersionLast="47" xr6:coauthVersionMax="47" xr10:uidLastSave="{00000000-0000-0000-0000-000000000000}"/>
  <bookViews>
    <workbookView xWindow="0" yWindow="500" windowWidth="25640" windowHeight="18500" tabRatio="900" xr2:uid="{5E26062F-AF4D-43C3-BD7C-9826AD1B0CF2}"/>
  </bookViews>
  <sheets>
    <sheet name="Data Source" sheetId="5" r:id="rId1"/>
    <sheet name="Agent YTD Summary" sheetId="4" r:id="rId2"/>
    <sheet name="CSR YTD Summary" sheetId="6" r:id="rId3"/>
    <sheet name="2023 Business Log" sheetId="2" r:id="rId4"/>
    <sheet name="Pending Service Log" sheetId="8" r:id="rId5"/>
    <sheet name="Lost Business" sheetId="9" r:id="rId6"/>
    <sheet name="Internal Transfer" sheetId="10" r:id="rId7"/>
    <sheet name="Marketing ROI" sheetId="7" r:id="rId8"/>
  </sheets>
  <definedNames>
    <definedName name="_xlnm.Print_Area" localSheetId="1">'Agent YTD Summary'!$A$1:$Q$49</definedName>
    <definedName name="_xlnm.Print_Area" localSheetId="2">'CSR YTD Summary'!$A$1:$Q$49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6" l="1"/>
  <c r="M5" i="4"/>
  <c r="I2" i="9" l="1"/>
  <c r="M2" i="9"/>
  <c r="L2" i="9"/>
  <c r="K2" i="9"/>
  <c r="J2" i="9"/>
  <c r="H2" i="9"/>
  <c r="G2" i="9"/>
  <c r="E2" i="9"/>
  <c r="D2" i="9"/>
  <c r="C2" i="9"/>
  <c r="B2" i="9"/>
  <c r="B1" i="6" l="1"/>
  <c r="B1" i="4"/>
  <c r="K4" i="6"/>
  <c r="J4" i="6"/>
  <c r="I4" i="6"/>
  <c r="H4" i="6"/>
  <c r="G4" i="6"/>
  <c r="E4" i="6"/>
  <c r="D4" i="6"/>
  <c r="C4" i="6"/>
  <c r="B4" i="6"/>
  <c r="K41" i="6"/>
  <c r="J41" i="6"/>
  <c r="I41" i="6"/>
  <c r="H41" i="6"/>
  <c r="E41" i="6"/>
  <c r="E49" i="6" s="1"/>
  <c r="D41" i="6"/>
  <c r="D49" i="6" s="1"/>
  <c r="C41" i="6"/>
  <c r="C49" i="6" s="1"/>
  <c r="B41" i="6"/>
  <c r="B49" i="6" s="1"/>
  <c r="K28" i="6"/>
  <c r="J28" i="6"/>
  <c r="I28" i="6"/>
  <c r="H28" i="6"/>
  <c r="G28" i="6"/>
  <c r="E28" i="6"/>
  <c r="D28" i="6"/>
  <c r="C28" i="6"/>
  <c r="B28" i="6"/>
  <c r="K16" i="6"/>
  <c r="J16" i="6"/>
  <c r="I16" i="6"/>
  <c r="H16" i="6"/>
  <c r="G16" i="6"/>
  <c r="E16" i="6"/>
  <c r="D16" i="6"/>
  <c r="C16" i="6"/>
  <c r="B16" i="6"/>
  <c r="K28" i="4"/>
  <c r="J28" i="4"/>
  <c r="I28" i="4"/>
  <c r="H28" i="4"/>
  <c r="G28" i="4"/>
  <c r="G16" i="4"/>
  <c r="K41" i="4"/>
  <c r="J41" i="4"/>
  <c r="I41" i="4"/>
  <c r="E41" i="4"/>
  <c r="E49" i="4" s="1"/>
  <c r="D41" i="4"/>
  <c r="D49" i="4" s="1"/>
  <c r="C41" i="4"/>
  <c r="C49" i="4" s="1"/>
  <c r="E28" i="4"/>
  <c r="D28" i="4"/>
  <c r="C28" i="4"/>
  <c r="H41" i="4"/>
  <c r="B41" i="4"/>
  <c r="B49" i="4" s="1"/>
  <c r="B28" i="4"/>
  <c r="B16" i="4"/>
  <c r="K16" i="4"/>
  <c r="J16" i="4"/>
  <c r="I16" i="4"/>
  <c r="H16" i="4"/>
  <c r="G4" i="4"/>
  <c r="E16" i="4"/>
  <c r="E4" i="4"/>
  <c r="D16" i="4"/>
  <c r="D4" i="4"/>
  <c r="C16" i="4"/>
  <c r="C4" i="4"/>
  <c r="K4" i="4"/>
  <c r="J4" i="4"/>
  <c r="I4" i="4"/>
  <c r="H4" i="4"/>
  <c r="B4" i="4"/>
  <c r="D67" i="7"/>
  <c r="D66" i="7"/>
  <c r="I56" i="7"/>
  <c r="I55" i="7"/>
  <c r="H56" i="7"/>
  <c r="H55" i="7"/>
  <c r="E56" i="7"/>
  <c r="E55" i="7"/>
  <c r="A27" i="7"/>
  <c r="A26" i="7"/>
  <c r="A25" i="7"/>
  <c r="B25" i="7" s="1"/>
  <c r="G25" i="7" s="1"/>
  <c r="A24" i="7"/>
  <c r="A23" i="7"/>
  <c r="A22" i="7"/>
  <c r="A21" i="7"/>
  <c r="A20" i="7"/>
  <c r="B20" i="7" s="1"/>
  <c r="G20" i="7" s="1"/>
  <c r="A19" i="7"/>
  <c r="A18" i="7"/>
  <c r="A17" i="7"/>
  <c r="A16" i="7"/>
  <c r="A15" i="7"/>
  <c r="A14" i="7"/>
  <c r="A13" i="7"/>
  <c r="B13" i="7" s="1"/>
  <c r="G13" i="7" s="1"/>
  <c r="A12" i="7"/>
  <c r="A11" i="7"/>
  <c r="B11" i="7" s="1"/>
  <c r="G11" i="7" s="1"/>
  <c r="A10" i="7"/>
  <c r="A9" i="7"/>
  <c r="A8" i="7"/>
  <c r="B8" i="7" s="1"/>
  <c r="G8" i="7" s="1"/>
  <c r="A7" i="7"/>
  <c r="A6" i="7"/>
  <c r="A5" i="7"/>
  <c r="A4" i="7"/>
  <c r="D39" i="7"/>
  <c r="D38" i="7"/>
  <c r="E3" i="7"/>
  <c r="D3" i="7"/>
  <c r="C3" i="7"/>
  <c r="C21" i="7" s="1"/>
  <c r="H21" i="7" s="1"/>
  <c r="B3" i="7"/>
  <c r="B22" i="7" s="1"/>
  <c r="G22" i="7" s="1"/>
  <c r="E2" i="10"/>
  <c r="D2" i="10"/>
  <c r="C2" i="10"/>
  <c r="B2" i="10"/>
  <c r="A9" i="10"/>
  <c r="A8" i="10"/>
  <c r="H8" i="10" s="1"/>
  <c r="A7" i="10"/>
  <c r="H7" i="10" s="1"/>
  <c r="A6" i="10"/>
  <c r="G6" i="10" s="1"/>
  <c r="A5" i="10"/>
  <c r="G5" i="10" s="1"/>
  <c r="A4" i="10"/>
  <c r="A3" i="10"/>
  <c r="A9" i="9"/>
  <c r="A8" i="9"/>
  <c r="A7" i="9"/>
  <c r="A6" i="9"/>
  <c r="A5" i="9"/>
  <c r="A4" i="9"/>
  <c r="A3" i="9"/>
  <c r="J106" i="8"/>
  <c r="J105" i="8"/>
  <c r="J104" i="8"/>
  <c r="J103" i="8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A9" i="8"/>
  <c r="B9" i="8" s="1"/>
  <c r="A8" i="8"/>
  <c r="B8" i="8" s="1"/>
  <c r="A7" i="8"/>
  <c r="B7" i="8" s="1"/>
  <c r="A6" i="8"/>
  <c r="B6" i="8" s="1"/>
  <c r="A5" i="8"/>
  <c r="B5" i="8" s="1"/>
  <c r="A4" i="8"/>
  <c r="B4" i="8" s="1"/>
  <c r="A3" i="8"/>
  <c r="B3" i="8" s="1"/>
  <c r="T2" i="4"/>
  <c r="T1" i="4"/>
  <c r="G48" i="4"/>
  <c r="K48" i="4" s="1"/>
  <c r="G47" i="4"/>
  <c r="G46" i="4"/>
  <c r="G45" i="4"/>
  <c r="K45" i="4" s="1"/>
  <c r="G44" i="4"/>
  <c r="G43" i="4"/>
  <c r="G42" i="4"/>
  <c r="A48" i="4"/>
  <c r="A47" i="4"/>
  <c r="A46" i="4"/>
  <c r="A45" i="4"/>
  <c r="A44" i="4"/>
  <c r="A43" i="4"/>
  <c r="A42" i="4"/>
  <c r="A35" i="4"/>
  <c r="K35" i="4" s="1"/>
  <c r="A34" i="4"/>
  <c r="H34" i="4" s="1"/>
  <c r="A33" i="4"/>
  <c r="D33" i="4" s="1"/>
  <c r="A32" i="4"/>
  <c r="K32" i="4" s="1"/>
  <c r="A31" i="4"/>
  <c r="K31" i="4" s="1"/>
  <c r="A30" i="4"/>
  <c r="A29" i="4"/>
  <c r="D29" i="4" s="1"/>
  <c r="A23" i="4"/>
  <c r="A22" i="4"/>
  <c r="A21" i="4"/>
  <c r="H21" i="4" s="1"/>
  <c r="A20" i="4"/>
  <c r="D20" i="4" s="1"/>
  <c r="A19" i="4"/>
  <c r="A18" i="4"/>
  <c r="A17" i="4"/>
  <c r="H17" i="4" s="1"/>
  <c r="A11" i="4"/>
  <c r="A10" i="4"/>
  <c r="E10" i="4" s="1"/>
  <c r="A9" i="4"/>
  <c r="A8" i="4"/>
  <c r="A7" i="4"/>
  <c r="E7" i="4" s="1"/>
  <c r="A6" i="4"/>
  <c r="A5" i="4"/>
  <c r="C5" i="4" s="1"/>
  <c r="G48" i="6"/>
  <c r="G47" i="6"/>
  <c r="G46" i="6"/>
  <c r="G45" i="6"/>
  <c r="G44" i="6"/>
  <c r="G43" i="6"/>
  <c r="G42" i="6"/>
  <c r="A48" i="6"/>
  <c r="K48" i="6" s="1"/>
  <c r="A47" i="6"/>
  <c r="K47" i="6" s="1"/>
  <c r="A46" i="6"/>
  <c r="J46" i="6" s="1"/>
  <c r="A45" i="6"/>
  <c r="K45" i="6" s="1"/>
  <c r="A44" i="6"/>
  <c r="K44" i="6" s="1"/>
  <c r="A43" i="6"/>
  <c r="D43" i="6" s="1"/>
  <c r="A42" i="6"/>
  <c r="E42" i="6" s="1"/>
  <c r="A35" i="6"/>
  <c r="A34" i="6"/>
  <c r="B34" i="6" s="1"/>
  <c r="A33" i="6"/>
  <c r="K33" i="6" s="1"/>
  <c r="A32" i="6"/>
  <c r="A31" i="6"/>
  <c r="E31" i="6" s="1"/>
  <c r="A30" i="6"/>
  <c r="B30" i="6" s="1"/>
  <c r="A29" i="6"/>
  <c r="K29" i="6" s="1"/>
  <c r="A23" i="6"/>
  <c r="I23" i="6" s="1"/>
  <c r="A22" i="6"/>
  <c r="A21" i="6"/>
  <c r="B21" i="6" s="1"/>
  <c r="A20" i="6"/>
  <c r="K20" i="6" s="1"/>
  <c r="A19" i="6"/>
  <c r="I19" i="6" s="1"/>
  <c r="A18" i="6"/>
  <c r="A17" i="6"/>
  <c r="A11" i="6"/>
  <c r="K11" i="6" s="1"/>
  <c r="A10" i="6"/>
  <c r="I10" i="6" s="1"/>
  <c r="A9" i="6"/>
  <c r="E9" i="6" s="1"/>
  <c r="A8" i="6"/>
  <c r="A7" i="6"/>
  <c r="K7" i="6" s="1"/>
  <c r="A6" i="6"/>
  <c r="I6" i="6" s="1"/>
  <c r="A5" i="6"/>
  <c r="T2" i="6"/>
  <c r="T1" i="6"/>
  <c r="M3" i="9" l="1"/>
  <c r="L3" i="9"/>
  <c r="K3" i="9"/>
  <c r="J3" i="9"/>
  <c r="H3" i="9"/>
  <c r="G3" i="9"/>
  <c r="B3" i="9"/>
  <c r="C3" i="9"/>
  <c r="E3" i="9"/>
  <c r="D3" i="9"/>
  <c r="I3" i="9"/>
  <c r="G4" i="9"/>
  <c r="E4" i="9"/>
  <c r="D4" i="9"/>
  <c r="C4" i="9"/>
  <c r="B4" i="9"/>
  <c r="M4" i="9"/>
  <c r="L4" i="9"/>
  <c r="K4" i="9"/>
  <c r="J4" i="9"/>
  <c r="H4" i="9"/>
  <c r="I4" i="9"/>
  <c r="C8" i="4"/>
  <c r="H30" i="4"/>
  <c r="J5" i="9"/>
  <c r="G5" i="9"/>
  <c r="E5" i="9"/>
  <c r="D5" i="9"/>
  <c r="C5" i="9"/>
  <c r="B5" i="9"/>
  <c r="M5" i="9"/>
  <c r="H5" i="9"/>
  <c r="L5" i="9"/>
  <c r="K5" i="9"/>
  <c r="I5" i="9"/>
  <c r="K6" i="9"/>
  <c r="J6" i="9"/>
  <c r="I6" i="9"/>
  <c r="H6" i="9"/>
  <c r="G6" i="9"/>
  <c r="E6" i="9"/>
  <c r="D6" i="9"/>
  <c r="C6" i="9"/>
  <c r="B6" i="9"/>
  <c r="M6" i="9"/>
  <c r="L6" i="9"/>
  <c r="L7" i="9"/>
  <c r="K7" i="9"/>
  <c r="J7" i="9"/>
  <c r="I7" i="9"/>
  <c r="H7" i="9"/>
  <c r="G7" i="9"/>
  <c r="E7" i="9"/>
  <c r="D7" i="9"/>
  <c r="C7" i="9"/>
  <c r="B7" i="9"/>
  <c r="M7" i="9"/>
  <c r="M8" i="9"/>
  <c r="L8" i="9"/>
  <c r="K8" i="9"/>
  <c r="J8" i="9"/>
  <c r="I8" i="9"/>
  <c r="H8" i="9"/>
  <c r="G8" i="9"/>
  <c r="E8" i="9"/>
  <c r="D8" i="9"/>
  <c r="C8" i="9"/>
  <c r="B8" i="9"/>
  <c r="M9" i="9"/>
  <c r="L9" i="9"/>
  <c r="K9" i="9"/>
  <c r="J9" i="9"/>
  <c r="I9" i="9"/>
  <c r="H9" i="9"/>
  <c r="G9" i="9"/>
  <c r="E9" i="9"/>
  <c r="D9" i="9"/>
  <c r="C9" i="9"/>
  <c r="B9" i="9"/>
  <c r="B10" i="7"/>
  <c r="G10" i="7" s="1"/>
  <c r="D14" i="7"/>
  <c r="D7" i="7"/>
  <c r="B8" i="6"/>
  <c r="C7" i="10"/>
  <c r="H46" i="4"/>
  <c r="C8" i="10"/>
  <c r="E42" i="4"/>
  <c r="D4" i="10"/>
  <c r="E43" i="4"/>
  <c r="E44" i="4"/>
  <c r="E45" i="4"/>
  <c r="E46" i="4"/>
  <c r="E47" i="4"/>
  <c r="E9" i="10"/>
  <c r="E48" i="4"/>
  <c r="H9" i="4"/>
  <c r="K22" i="4"/>
  <c r="E5" i="6"/>
  <c r="E22" i="6"/>
  <c r="K6" i="4"/>
  <c r="K23" i="4"/>
  <c r="C12" i="7"/>
  <c r="H12" i="7" s="1"/>
  <c r="B14" i="7"/>
  <c r="G14" i="7" s="1"/>
  <c r="I42" i="4"/>
  <c r="I43" i="4"/>
  <c r="I32" i="6"/>
  <c r="J11" i="4"/>
  <c r="K44" i="4"/>
  <c r="B17" i="6"/>
  <c r="C3" i="10"/>
  <c r="D7" i="10"/>
  <c r="K18" i="4"/>
  <c r="E18" i="6"/>
  <c r="E35" i="6"/>
  <c r="K19" i="4"/>
  <c r="K47" i="4"/>
  <c r="E7" i="10"/>
  <c r="E23" i="7"/>
  <c r="B4" i="10"/>
  <c r="B7" i="10"/>
  <c r="B4" i="7"/>
  <c r="G4" i="7" s="1"/>
  <c r="D5" i="4"/>
  <c r="D8" i="4"/>
  <c r="D11" i="4"/>
  <c r="G7" i="4"/>
  <c r="I9" i="4"/>
  <c r="K11" i="4"/>
  <c r="I17" i="4"/>
  <c r="B19" i="4"/>
  <c r="E20" i="4"/>
  <c r="I21" i="4"/>
  <c r="B23" i="4"/>
  <c r="E29" i="4"/>
  <c r="I30" i="4"/>
  <c r="B32" i="4"/>
  <c r="E33" i="4"/>
  <c r="I34" i="4"/>
  <c r="B42" i="4"/>
  <c r="B45" i="4"/>
  <c r="B48" i="4"/>
  <c r="G5" i="6"/>
  <c r="J6" i="6"/>
  <c r="C8" i="6"/>
  <c r="G9" i="6"/>
  <c r="J10" i="6"/>
  <c r="C17" i="6"/>
  <c r="G18" i="6"/>
  <c r="J19" i="6"/>
  <c r="C21" i="6"/>
  <c r="G22" i="6"/>
  <c r="J23" i="6"/>
  <c r="C30" i="6"/>
  <c r="G31" i="6"/>
  <c r="J32" i="6"/>
  <c r="C34" i="6"/>
  <c r="G35" i="6"/>
  <c r="E43" i="6"/>
  <c r="E46" i="6"/>
  <c r="K46" i="6"/>
  <c r="E5" i="4"/>
  <c r="E8" i="4"/>
  <c r="E11" i="4"/>
  <c r="H7" i="4"/>
  <c r="J9" i="4"/>
  <c r="J17" i="4"/>
  <c r="C19" i="4"/>
  <c r="G20" i="4"/>
  <c r="J21" i="4"/>
  <c r="C23" i="4"/>
  <c r="G29" i="4"/>
  <c r="J30" i="4"/>
  <c r="C32" i="4"/>
  <c r="G33" i="4"/>
  <c r="J34" i="4"/>
  <c r="C42" i="4"/>
  <c r="C45" i="4"/>
  <c r="C48" i="4"/>
  <c r="K5" i="6"/>
  <c r="K6" i="6"/>
  <c r="D8" i="6"/>
  <c r="H9" i="6"/>
  <c r="K10" i="6"/>
  <c r="D17" i="6"/>
  <c r="H18" i="6"/>
  <c r="K19" i="6"/>
  <c r="D21" i="6"/>
  <c r="H22" i="6"/>
  <c r="K23" i="6"/>
  <c r="D30" i="6"/>
  <c r="H31" i="6"/>
  <c r="K32" i="6"/>
  <c r="D34" i="6"/>
  <c r="H35" i="6"/>
  <c r="B44" i="6"/>
  <c r="B47" i="6"/>
  <c r="J42" i="6"/>
  <c r="H47" i="6"/>
  <c r="B6" i="4"/>
  <c r="B9" i="4"/>
  <c r="G5" i="4"/>
  <c r="I7" i="4"/>
  <c r="K9" i="4"/>
  <c r="K17" i="4"/>
  <c r="D19" i="4"/>
  <c r="H20" i="4"/>
  <c r="K21" i="4"/>
  <c r="D23" i="4"/>
  <c r="H29" i="4"/>
  <c r="K30" i="4"/>
  <c r="D32" i="4"/>
  <c r="H33" i="4"/>
  <c r="K34" i="4"/>
  <c r="D42" i="4"/>
  <c r="D45" i="4"/>
  <c r="D48" i="4"/>
  <c r="J5" i="6"/>
  <c r="B7" i="6"/>
  <c r="E8" i="6"/>
  <c r="I9" i="6"/>
  <c r="B11" i="6"/>
  <c r="E17" i="6"/>
  <c r="I18" i="6"/>
  <c r="B20" i="6"/>
  <c r="E21" i="6"/>
  <c r="I22" i="6"/>
  <c r="B29" i="6"/>
  <c r="E30" i="6"/>
  <c r="I31" i="6"/>
  <c r="B33" i="6"/>
  <c r="E34" i="6"/>
  <c r="I35" i="6"/>
  <c r="C44" i="6"/>
  <c r="C47" i="6"/>
  <c r="K42" i="6"/>
  <c r="I47" i="6"/>
  <c r="C6" i="4"/>
  <c r="C9" i="4"/>
  <c r="K5" i="4"/>
  <c r="J7" i="4"/>
  <c r="G10" i="4"/>
  <c r="B18" i="4"/>
  <c r="E19" i="4"/>
  <c r="I20" i="4"/>
  <c r="B22" i="4"/>
  <c r="E23" i="4"/>
  <c r="I29" i="4"/>
  <c r="B31" i="4"/>
  <c r="E32" i="4"/>
  <c r="I33" i="4"/>
  <c r="B35" i="4"/>
  <c r="I5" i="6"/>
  <c r="C7" i="6"/>
  <c r="G8" i="6"/>
  <c r="J9" i="6"/>
  <c r="C11" i="6"/>
  <c r="G17" i="6"/>
  <c r="J18" i="6"/>
  <c r="C20" i="6"/>
  <c r="G21" i="6"/>
  <c r="J22" i="6"/>
  <c r="C29" i="6"/>
  <c r="G30" i="6"/>
  <c r="J31" i="6"/>
  <c r="C33" i="6"/>
  <c r="G34" i="6"/>
  <c r="J35" i="6"/>
  <c r="D44" i="6"/>
  <c r="D47" i="6"/>
  <c r="I43" i="6"/>
  <c r="J47" i="6"/>
  <c r="E4" i="10"/>
  <c r="B5" i="10"/>
  <c r="B8" i="10"/>
  <c r="D6" i="4"/>
  <c r="D9" i="4"/>
  <c r="H5" i="4"/>
  <c r="K7" i="4"/>
  <c r="H10" i="4"/>
  <c r="C18" i="4"/>
  <c r="G19" i="4"/>
  <c r="J20" i="4"/>
  <c r="C22" i="4"/>
  <c r="G23" i="4"/>
  <c r="J29" i="4"/>
  <c r="C31" i="4"/>
  <c r="G32" i="4"/>
  <c r="J33" i="4"/>
  <c r="C35" i="4"/>
  <c r="B43" i="4"/>
  <c r="B46" i="4"/>
  <c r="H5" i="6"/>
  <c r="D7" i="6"/>
  <c r="H8" i="6"/>
  <c r="K9" i="6"/>
  <c r="D11" i="6"/>
  <c r="H17" i="6"/>
  <c r="K18" i="6"/>
  <c r="D20" i="6"/>
  <c r="H21" i="6"/>
  <c r="K22" i="6"/>
  <c r="D29" i="6"/>
  <c r="H30" i="6"/>
  <c r="K31" i="6"/>
  <c r="D33" i="6"/>
  <c r="H34" i="6"/>
  <c r="K35" i="6"/>
  <c r="E44" i="6"/>
  <c r="E47" i="6"/>
  <c r="J43" i="6"/>
  <c r="E6" i="4"/>
  <c r="E9" i="4"/>
  <c r="I5" i="4"/>
  <c r="G8" i="4"/>
  <c r="I10" i="4"/>
  <c r="D18" i="4"/>
  <c r="H19" i="4"/>
  <c r="K20" i="4"/>
  <c r="D22" i="4"/>
  <c r="H23" i="4"/>
  <c r="K29" i="4"/>
  <c r="D31" i="4"/>
  <c r="H32" i="4"/>
  <c r="K33" i="4"/>
  <c r="D35" i="4"/>
  <c r="C43" i="4"/>
  <c r="C46" i="4"/>
  <c r="B6" i="6"/>
  <c r="E7" i="6"/>
  <c r="I8" i="6"/>
  <c r="B10" i="6"/>
  <c r="E11" i="6"/>
  <c r="I17" i="6"/>
  <c r="B19" i="6"/>
  <c r="E20" i="6"/>
  <c r="I21" i="6"/>
  <c r="B23" i="6"/>
  <c r="E29" i="6"/>
  <c r="I30" i="6"/>
  <c r="B32" i="6"/>
  <c r="E33" i="6"/>
  <c r="I34" i="6"/>
  <c r="B42" i="6"/>
  <c r="B45" i="6"/>
  <c r="B48" i="6"/>
  <c r="H48" i="6"/>
  <c r="D5" i="10"/>
  <c r="D8" i="10"/>
  <c r="B7" i="4"/>
  <c r="B10" i="4"/>
  <c r="J5" i="4"/>
  <c r="H8" i="4"/>
  <c r="J10" i="4"/>
  <c r="B17" i="4"/>
  <c r="E18" i="4"/>
  <c r="I19" i="4"/>
  <c r="B21" i="4"/>
  <c r="E22" i="4"/>
  <c r="I23" i="4"/>
  <c r="B30" i="4"/>
  <c r="E31" i="4"/>
  <c r="I32" i="4"/>
  <c r="B34" i="4"/>
  <c r="E35" i="4"/>
  <c r="D43" i="4"/>
  <c r="D46" i="4"/>
  <c r="C6" i="6"/>
  <c r="G7" i="6"/>
  <c r="J8" i="6"/>
  <c r="C10" i="6"/>
  <c r="G11" i="6"/>
  <c r="J17" i="6"/>
  <c r="C19" i="6"/>
  <c r="G20" i="6"/>
  <c r="J21" i="6"/>
  <c r="C23" i="6"/>
  <c r="G29" i="6"/>
  <c r="J30" i="6"/>
  <c r="C32" i="6"/>
  <c r="G33" i="6"/>
  <c r="J34" i="6"/>
  <c r="C42" i="6"/>
  <c r="C45" i="6"/>
  <c r="C48" i="6"/>
  <c r="H45" i="6"/>
  <c r="I48" i="6"/>
  <c r="C4" i="10"/>
  <c r="E5" i="10"/>
  <c r="E8" i="10"/>
  <c r="C7" i="4"/>
  <c r="C10" i="4"/>
  <c r="G6" i="4"/>
  <c r="I8" i="4"/>
  <c r="K10" i="4"/>
  <c r="E17" i="4"/>
  <c r="G18" i="4"/>
  <c r="J19" i="4"/>
  <c r="C21" i="4"/>
  <c r="G22" i="4"/>
  <c r="J23" i="4"/>
  <c r="C30" i="4"/>
  <c r="G31" i="4"/>
  <c r="J32" i="4"/>
  <c r="C34" i="4"/>
  <c r="G35" i="4"/>
  <c r="D6" i="6"/>
  <c r="H7" i="6"/>
  <c r="K8" i="6"/>
  <c r="D10" i="6"/>
  <c r="H11" i="6"/>
  <c r="K17" i="6"/>
  <c r="D19" i="6"/>
  <c r="H20" i="6"/>
  <c r="K21" i="6"/>
  <c r="D23" i="6"/>
  <c r="H29" i="6"/>
  <c r="K30" i="6"/>
  <c r="D32" i="6"/>
  <c r="H33" i="6"/>
  <c r="K34" i="6"/>
  <c r="D42" i="6"/>
  <c r="D45" i="6"/>
  <c r="D48" i="6"/>
  <c r="J45" i="6"/>
  <c r="J48" i="6"/>
  <c r="B6" i="10"/>
  <c r="B9" i="10"/>
  <c r="D9" i="7"/>
  <c r="D21" i="7"/>
  <c r="D7" i="4"/>
  <c r="D10" i="4"/>
  <c r="H6" i="4"/>
  <c r="J8" i="4"/>
  <c r="G11" i="4"/>
  <c r="D17" i="4"/>
  <c r="H18" i="4"/>
  <c r="D21" i="4"/>
  <c r="H22" i="4"/>
  <c r="D30" i="4"/>
  <c r="H31" i="4"/>
  <c r="D34" i="4"/>
  <c r="H35" i="4"/>
  <c r="B44" i="4"/>
  <c r="B47" i="4"/>
  <c r="B5" i="6"/>
  <c r="E6" i="6"/>
  <c r="I7" i="6"/>
  <c r="B9" i="6"/>
  <c r="E10" i="6"/>
  <c r="I11" i="6"/>
  <c r="B18" i="6"/>
  <c r="E19" i="6"/>
  <c r="I20" i="6"/>
  <c r="B22" i="6"/>
  <c r="E23" i="6"/>
  <c r="I29" i="6"/>
  <c r="B31" i="6"/>
  <c r="E32" i="6"/>
  <c r="I33" i="6"/>
  <c r="B35" i="6"/>
  <c r="E45" i="6"/>
  <c r="E48" i="6"/>
  <c r="C6" i="10"/>
  <c r="C9" i="10"/>
  <c r="B26" i="7"/>
  <c r="G26" i="7" s="1"/>
  <c r="I6" i="4"/>
  <c r="K8" i="4"/>
  <c r="H11" i="4"/>
  <c r="C17" i="4"/>
  <c r="I18" i="4"/>
  <c r="B20" i="4"/>
  <c r="E21" i="4"/>
  <c r="I22" i="4"/>
  <c r="B29" i="4"/>
  <c r="E30" i="4"/>
  <c r="I31" i="4"/>
  <c r="B33" i="4"/>
  <c r="E34" i="4"/>
  <c r="I35" i="4"/>
  <c r="C44" i="4"/>
  <c r="C47" i="4"/>
  <c r="C5" i="6"/>
  <c r="G6" i="6"/>
  <c r="J7" i="6"/>
  <c r="C9" i="6"/>
  <c r="G10" i="6"/>
  <c r="J11" i="6"/>
  <c r="C18" i="6"/>
  <c r="G19" i="6"/>
  <c r="J20" i="6"/>
  <c r="C22" i="6"/>
  <c r="G23" i="6"/>
  <c r="J29" i="6"/>
  <c r="C31" i="6"/>
  <c r="G32" i="6"/>
  <c r="J33" i="6"/>
  <c r="C35" i="6"/>
  <c r="B43" i="6"/>
  <c r="B46" i="6"/>
  <c r="H46" i="6"/>
  <c r="C5" i="10"/>
  <c r="D6" i="10"/>
  <c r="D9" i="10"/>
  <c r="B23" i="7"/>
  <c r="G23" i="7" s="1"/>
  <c r="B5" i="4"/>
  <c r="B8" i="4"/>
  <c r="B11" i="4"/>
  <c r="J6" i="4"/>
  <c r="G9" i="4"/>
  <c r="I11" i="4"/>
  <c r="G17" i="4"/>
  <c r="J18" i="4"/>
  <c r="C20" i="4"/>
  <c r="G21" i="4"/>
  <c r="J22" i="4"/>
  <c r="C29" i="4"/>
  <c r="G30" i="4"/>
  <c r="J31" i="4"/>
  <c r="C33" i="4"/>
  <c r="G34" i="4"/>
  <c r="J35" i="4"/>
  <c r="D44" i="4"/>
  <c r="D47" i="4"/>
  <c r="D5" i="6"/>
  <c r="H6" i="6"/>
  <c r="D9" i="6"/>
  <c r="H10" i="6"/>
  <c r="D18" i="6"/>
  <c r="H19" i="6"/>
  <c r="D22" i="6"/>
  <c r="H23" i="6"/>
  <c r="D31" i="6"/>
  <c r="H32" i="6"/>
  <c r="D35" i="6"/>
  <c r="C43" i="6"/>
  <c r="C46" i="6"/>
  <c r="I46" i="6"/>
  <c r="B3" i="10"/>
  <c r="E6" i="10"/>
  <c r="D17" i="7"/>
  <c r="C11" i="4"/>
  <c r="D46" i="6"/>
  <c r="K46" i="4"/>
  <c r="H47" i="4"/>
  <c r="I47" i="4"/>
  <c r="I46" i="4"/>
  <c r="J46" i="4"/>
  <c r="J43" i="4"/>
  <c r="J47" i="4"/>
  <c r="H43" i="4"/>
  <c r="K43" i="4"/>
  <c r="J44" i="4"/>
  <c r="H48" i="4"/>
  <c r="I48" i="4"/>
  <c r="J45" i="4"/>
  <c r="J48" i="4"/>
  <c r="C10" i="7"/>
  <c r="H10" i="7" s="1"/>
  <c r="C15" i="7"/>
  <c r="H15" i="7" s="1"/>
  <c r="C24" i="7"/>
  <c r="H24" i="7" s="1"/>
  <c r="D10" i="7"/>
  <c r="E15" i="7"/>
  <c r="D16" i="7"/>
  <c r="E10" i="7"/>
  <c r="B17" i="7"/>
  <c r="G17" i="7" s="1"/>
  <c r="C25" i="7"/>
  <c r="H25" i="7" s="1"/>
  <c r="C5" i="7"/>
  <c r="H5" i="7" s="1"/>
  <c r="C17" i="7"/>
  <c r="H17" i="7" s="1"/>
  <c r="D25" i="7"/>
  <c r="C6" i="7"/>
  <c r="H6" i="7" s="1"/>
  <c r="E18" i="7"/>
  <c r="C4" i="7"/>
  <c r="H4" i="7" s="1"/>
  <c r="D11" i="7"/>
  <c r="B7" i="7"/>
  <c r="G7" i="7" s="1"/>
  <c r="B19" i="7"/>
  <c r="G19" i="7" s="1"/>
  <c r="C8" i="7"/>
  <c r="H8" i="7" s="1"/>
  <c r="C9" i="7"/>
  <c r="H9" i="7" s="1"/>
  <c r="C14" i="7"/>
  <c r="H14" i="7" s="1"/>
  <c r="E22" i="7"/>
  <c r="C7" i="7"/>
  <c r="H7" i="7" s="1"/>
  <c r="E11" i="7"/>
  <c r="E17" i="7"/>
  <c r="B27" i="7"/>
  <c r="G27" i="7" s="1"/>
  <c r="D24" i="7"/>
  <c r="C22" i="7"/>
  <c r="H22" i="7" s="1"/>
  <c r="E14" i="7"/>
  <c r="C18" i="7"/>
  <c r="H18" i="7" s="1"/>
  <c r="D18" i="7"/>
  <c r="B5" i="7"/>
  <c r="G5" i="7" s="1"/>
  <c r="B16" i="7"/>
  <c r="G16" i="7" s="1"/>
  <c r="C16" i="7"/>
  <c r="H16" i="7" s="1"/>
  <c r="E6" i="7"/>
  <c r="E24" i="7"/>
  <c r="E7" i="7"/>
  <c r="E19" i="7"/>
  <c r="E20" i="7"/>
  <c r="E4" i="7"/>
  <c r="E8" i="7"/>
  <c r="E12" i="7"/>
  <c r="E16" i="7"/>
  <c r="E25" i="7"/>
  <c r="E21" i="7"/>
  <c r="E13" i="7"/>
  <c r="E26" i="7"/>
  <c r="E5" i="7"/>
  <c r="E9" i="7"/>
  <c r="E27" i="7"/>
  <c r="D4" i="7"/>
  <c r="D22" i="7"/>
  <c r="D15" i="7"/>
  <c r="D26" i="7"/>
  <c r="D8" i="7"/>
  <c r="D5" i="7"/>
  <c r="D12" i="7"/>
  <c r="D19" i="7"/>
  <c r="D23" i="7"/>
  <c r="D27" i="7"/>
  <c r="D6" i="7"/>
  <c r="D13" i="7"/>
  <c r="D20" i="7"/>
  <c r="C19" i="7"/>
  <c r="H19" i="7" s="1"/>
  <c r="C13" i="7"/>
  <c r="H13" i="7" s="1"/>
  <c r="C26" i="7"/>
  <c r="H26" i="7" s="1"/>
  <c r="C23" i="7"/>
  <c r="H23" i="7" s="1"/>
  <c r="C20" i="7"/>
  <c r="H20" i="7" s="1"/>
  <c r="C27" i="7"/>
  <c r="H27" i="7" s="1"/>
  <c r="C11" i="7"/>
  <c r="H11" i="7" s="1"/>
  <c r="B6" i="7"/>
  <c r="G6" i="7" s="1"/>
  <c r="B9" i="7"/>
  <c r="G9" i="7" s="1"/>
  <c r="B12" i="7"/>
  <c r="G12" i="7" s="1"/>
  <c r="B15" i="7"/>
  <c r="G15" i="7" s="1"/>
  <c r="B18" i="7"/>
  <c r="G18" i="7" s="1"/>
  <c r="B21" i="7"/>
  <c r="G21" i="7" s="1"/>
  <c r="B24" i="7"/>
  <c r="G24" i="7" s="1"/>
  <c r="E3" i="10"/>
  <c r="D3" i="10"/>
  <c r="G7" i="10"/>
  <c r="H3" i="10"/>
  <c r="G8" i="10"/>
  <c r="G9" i="10"/>
  <c r="H4" i="10"/>
  <c r="H5" i="10"/>
  <c r="H6" i="10"/>
  <c r="G3" i="10"/>
  <c r="G4" i="10"/>
  <c r="H9" i="10"/>
  <c r="P8" i="4"/>
  <c r="E67" i="7" s="1"/>
  <c r="F67" i="7" s="1"/>
  <c r="P8" i="6"/>
  <c r="P43" i="2"/>
  <c r="J43" i="2"/>
  <c r="O43" i="2" s="1" a="1"/>
  <c r="O43" i="2" s="1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J101" i="2"/>
  <c r="O101" i="2" s="1" a="1"/>
  <c r="O101" i="2" s="1"/>
  <c r="J102" i="2"/>
  <c r="O102" i="2" s="1" a="1"/>
  <c r="O102" i="2" s="1"/>
  <c r="J103" i="2"/>
  <c r="O103" i="2" s="1" a="1"/>
  <c r="O103" i="2" s="1"/>
  <c r="J104" i="2"/>
  <c r="O104" i="2" s="1" a="1"/>
  <c r="O104" i="2" s="1"/>
  <c r="J105" i="2"/>
  <c r="O105" i="2" s="1" a="1"/>
  <c r="O105" i="2" s="1"/>
  <c r="J106" i="2"/>
  <c r="O106" i="2" s="1" a="1"/>
  <c r="O106" i="2" s="1"/>
  <c r="J107" i="2"/>
  <c r="O107" i="2" s="1" a="1"/>
  <c r="O107" i="2" s="1"/>
  <c r="J108" i="2"/>
  <c r="O108" i="2" s="1" a="1"/>
  <c r="O108" i="2" s="1"/>
  <c r="J109" i="2"/>
  <c r="O109" i="2" s="1" a="1"/>
  <c r="O109" i="2" s="1"/>
  <c r="J110" i="2"/>
  <c r="O110" i="2" s="1" a="1"/>
  <c r="O110" i="2" s="1"/>
  <c r="J111" i="2"/>
  <c r="O111" i="2" s="1" a="1"/>
  <c r="O111" i="2" s="1"/>
  <c r="J112" i="2"/>
  <c r="O112" i="2" s="1" a="1"/>
  <c r="O112" i="2" s="1"/>
  <c r="J113" i="2"/>
  <c r="O113" i="2" s="1" a="1"/>
  <c r="O113" i="2" s="1"/>
  <c r="J114" i="2"/>
  <c r="O114" i="2" s="1" a="1"/>
  <c r="O114" i="2" s="1"/>
  <c r="J115" i="2"/>
  <c r="O115" i="2" s="1" a="1"/>
  <c r="O115" i="2" s="1"/>
  <c r="J116" i="2"/>
  <c r="O116" i="2" s="1" a="1"/>
  <c r="O116" i="2" s="1"/>
  <c r="J117" i="2"/>
  <c r="O117" i="2" s="1" a="1"/>
  <c r="O117" i="2" s="1"/>
  <c r="J118" i="2"/>
  <c r="O118" i="2" s="1" a="1"/>
  <c r="O118" i="2" s="1"/>
  <c r="J119" i="2"/>
  <c r="O119" i="2" s="1" a="1"/>
  <c r="O119" i="2" s="1"/>
  <c r="J120" i="2"/>
  <c r="O120" i="2" s="1" a="1"/>
  <c r="O120" i="2" s="1"/>
  <c r="J121" i="2"/>
  <c r="O121" i="2" s="1" a="1"/>
  <c r="O121" i="2" s="1"/>
  <c r="J122" i="2"/>
  <c r="O122" i="2" s="1" a="1"/>
  <c r="O122" i="2" s="1"/>
  <c r="J123" i="2"/>
  <c r="O123" i="2" s="1" a="1"/>
  <c r="O123" i="2" s="1"/>
  <c r="J124" i="2"/>
  <c r="O124" i="2" s="1" a="1"/>
  <c r="O124" i="2" s="1"/>
  <c r="J125" i="2"/>
  <c r="O125" i="2" s="1" a="1"/>
  <c r="O125" i="2" s="1"/>
  <c r="J126" i="2"/>
  <c r="O126" i="2" s="1" a="1"/>
  <c r="O126" i="2" s="1"/>
  <c r="J127" i="2"/>
  <c r="O127" i="2" s="1" a="1"/>
  <c r="O127" i="2" s="1"/>
  <c r="J128" i="2"/>
  <c r="O128" i="2" s="1" a="1"/>
  <c r="O128" i="2" s="1"/>
  <c r="J129" i="2"/>
  <c r="O129" i="2" s="1" a="1"/>
  <c r="O129" i="2" s="1"/>
  <c r="J130" i="2"/>
  <c r="O130" i="2" s="1" a="1"/>
  <c r="O130" i="2" s="1"/>
  <c r="J131" i="2"/>
  <c r="O131" i="2" s="1" a="1"/>
  <c r="O131" i="2" s="1"/>
  <c r="J132" i="2"/>
  <c r="O132" i="2" s="1" a="1"/>
  <c r="O132" i="2" s="1"/>
  <c r="J133" i="2"/>
  <c r="O133" i="2" s="1" a="1"/>
  <c r="O133" i="2" s="1"/>
  <c r="J134" i="2"/>
  <c r="O134" i="2" s="1" a="1"/>
  <c r="O134" i="2" s="1"/>
  <c r="J135" i="2"/>
  <c r="O135" i="2" s="1" a="1"/>
  <c r="O135" i="2" s="1"/>
  <c r="J136" i="2"/>
  <c r="O136" i="2" s="1" a="1"/>
  <c r="O136" i="2" s="1"/>
  <c r="J137" i="2"/>
  <c r="O137" i="2" s="1" a="1"/>
  <c r="O137" i="2" s="1"/>
  <c r="J138" i="2"/>
  <c r="O138" i="2" s="1" a="1"/>
  <c r="O138" i="2" s="1"/>
  <c r="F8" i="9" l="1"/>
  <c r="F7" i="9"/>
  <c r="F6" i="9"/>
  <c r="F9" i="9"/>
  <c r="F4" i="9"/>
  <c r="F5" i="9"/>
  <c r="F20" i="4"/>
  <c r="F23" i="6"/>
  <c r="F34" i="6"/>
  <c r="F8" i="6"/>
  <c r="F30" i="6"/>
  <c r="F21" i="6"/>
  <c r="F32" i="4"/>
  <c r="F18" i="4"/>
  <c r="F33" i="6"/>
  <c r="F7" i="6"/>
  <c r="F30" i="4"/>
  <c r="F22" i="6"/>
  <c r="F19" i="6"/>
  <c r="F35" i="4"/>
  <c r="F23" i="4"/>
  <c r="F33" i="4"/>
  <c r="F21" i="4"/>
  <c r="F18" i="6"/>
  <c r="F10" i="6"/>
  <c r="F31" i="4"/>
  <c r="F20" i="6"/>
  <c r="F19" i="4"/>
  <c r="F31" i="6"/>
  <c r="F35" i="6"/>
  <c r="F9" i="6"/>
  <c r="F32" i="6"/>
  <c r="F6" i="6"/>
  <c r="F22" i="4"/>
  <c r="F11" i="6"/>
  <c r="F34" i="4"/>
  <c r="F6" i="4"/>
  <c r="F9" i="4"/>
  <c r="F8" i="4"/>
  <c r="E65" i="7"/>
  <c r="E66" i="7"/>
  <c r="F66" i="7" s="1"/>
  <c r="E63" i="7"/>
  <c r="E64" i="7"/>
  <c r="E61" i="7"/>
  <c r="E62" i="7"/>
  <c r="E33" i="7"/>
  <c r="E39" i="7"/>
  <c r="F39" i="7" s="1"/>
  <c r="E38" i="7"/>
  <c r="F38" i="7" s="1"/>
  <c r="E37" i="7"/>
  <c r="E36" i="7"/>
  <c r="E35" i="7"/>
  <c r="E34" i="7"/>
  <c r="F4" i="10"/>
  <c r="F6" i="10"/>
  <c r="F3" i="10"/>
  <c r="F9" i="10"/>
  <c r="H10" i="10"/>
  <c r="G10" i="10"/>
  <c r="F7" i="10"/>
  <c r="F8" i="10"/>
  <c r="F5" i="10"/>
  <c r="F11" i="4"/>
  <c r="F7" i="4"/>
  <c r="F10" i="4"/>
  <c r="F29" i="4"/>
  <c r="F29" i="6"/>
  <c r="P35" i="2"/>
  <c r="P36" i="2"/>
  <c r="P37" i="2"/>
  <c r="P38" i="2"/>
  <c r="P39" i="2"/>
  <c r="P40" i="2"/>
  <c r="P42" i="2"/>
  <c r="P3" i="2"/>
  <c r="P4" i="2"/>
  <c r="P5" i="2"/>
  <c r="P6" i="2"/>
  <c r="P8" i="2"/>
  <c r="P12" i="2"/>
  <c r="P14" i="2"/>
  <c r="P7" i="2"/>
  <c r="P9" i="2"/>
  <c r="P10" i="2"/>
  <c r="P16" i="2"/>
  <c r="P17" i="2"/>
  <c r="P19" i="2"/>
  <c r="P30" i="2"/>
  <c r="P23" i="2"/>
  <c r="P13" i="2"/>
  <c r="P20" i="2"/>
  <c r="P26" i="2"/>
  <c r="P11" i="2"/>
  <c r="P15" i="2"/>
  <c r="P21" i="2"/>
  <c r="P28" i="2"/>
  <c r="P27" i="2"/>
  <c r="P24" i="2"/>
  <c r="P25" i="2"/>
  <c r="P32" i="2"/>
  <c r="P33" i="2"/>
  <c r="P29" i="2"/>
  <c r="P22" i="2"/>
  <c r="P31" i="2"/>
  <c r="P18" i="2"/>
  <c r="P41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34" i="2"/>
  <c r="J4" i="2"/>
  <c r="O4" i="2" s="1" a="1"/>
  <c r="O4" i="2" s="1"/>
  <c r="J5" i="2"/>
  <c r="O5" i="2" s="1" a="1"/>
  <c r="O5" i="2" s="1"/>
  <c r="J6" i="2"/>
  <c r="O6" i="2" s="1" a="1"/>
  <c r="O6" i="2" s="1"/>
  <c r="J8" i="2"/>
  <c r="O8" i="2" s="1" a="1"/>
  <c r="O8" i="2" s="1"/>
  <c r="J12" i="2"/>
  <c r="O12" i="2" s="1" a="1"/>
  <c r="O12" i="2" s="1"/>
  <c r="J14" i="2"/>
  <c r="O14" i="2" s="1" a="1"/>
  <c r="O14" i="2" s="1"/>
  <c r="J7" i="2"/>
  <c r="O7" i="2" s="1" a="1"/>
  <c r="O7" i="2" s="1"/>
  <c r="J9" i="2"/>
  <c r="O9" i="2" s="1" a="1"/>
  <c r="O9" i="2" s="1"/>
  <c r="J10" i="2"/>
  <c r="O10" i="2" s="1" a="1"/>
  <c r="O10" i="2" s="1"/>
  <c r="J16" i="2"/>
  <c r="O16" i="2" s="1" a="1"/>
  <c r="O16" i="2" s="1"/>
  <c r="J17" i="2"/>
  <c r="O17" i="2" s="1" a="1"/>
  <c r="O17" i="2" s="1"/>
  <c r="J19" i="2"/>
  <c r="O19" i="2" s="1" a="1"/>
  <c r="O19" i="2" s="1"/>
  <c r="J30" i="2"/>
  <c r="O30" i="2" s="1" a="1"/>
  <c r="O30" i="2" s="1"/>
  <c r="J23" i="2"/>
  <c r="O23" i="2" s="1" a="1"/>
  <c r="O23" i="2" s="1"/>
  <c r="J13" i="2"/>
  <c r="O13" i="2" s="1" a="1"/>
  <c r="O13" i="2" s="1"/>
  <c r="J20" i="2"/>
  <c r="O20" i="2" s="1" a="1"/>
  <c r="O20" i="2" s="1"/>
  <c r="J26" i="2"/>
  <c r="O26" i="2" s="1" a="1"/>
  <c r="O26" i="2" s="1"/>
  <c r="J11" i="2"/>
  <c r="O11" i="2" s="1" a="1"/>
  <c r="O11" i="2" s="1"/>
  <c r="J15" i="2"/>
  <c r="O15" i="2" s="1" a="1"/>
  <c r="O15" i="2" s="1"/>
  <c r="J21" i="2"/>
  <c r="O21" i="2" s="1" a="1"/>
  <c r="O21" i="2" s="1"/>
  <c r="J28" i="2"/>
  <c r="O28" i="2" s="1" a="1"/>
  <c r="O28" i="2" s="1"/>
  <c r="J27" i="2"/>
  <c r="O27" i="2" s="1" a="1"/>
  <c r="O27" i="2" s="1"/>
  <c r="J24" i="2"/>
  <c r="O24" i="2" s="1" a="1"/>
  <c r="O24" i="2" s="1"/>
  <c r="J25" i="2"/>
  <c r="O25" i="2" s="1" a="1"/>
  <c r="O25" i="2" s="1"/>
  <c r="J32" i="2"/>
  <c r="O32" i="2" s="1" a="1"/>
  <c r="O32" i="2" s="1"/>
  <c r="J33" i="2"/>
  <c r="O33" i="2" s="1" a="1"/>
  <c r="O33" i="2" s="1"/>
  <c r="J29" i="2"/>
  <c r="O29" i="2" s="1" a="1"/>
  <c r="O29" i="2" s="1"/>
  <c r="J22" i="2"/>
  <c r="O22" i="2" s="1" a="1"/>
  <c r="O22" i="2" s="1"/>
  <c r="J31" i="2"/>
  <c r="O31" i="2" s="1" a="1"/>
  <c r="O31" i="2" s="1"/>
  <c r="J18" i="2"/>
  <c r="O18" i="2" s="1" a="1"/>
  <c r="O18" i="2" s="1"/>
  <c r="J41" i="2"/>
  <c r="O41" i="2" s="1" a="1"/>
  <c r="O41" i="2" s="1"/>
  <c r="H44" i="6" s="1"/>
  <c r="J44" i="2"/>
  <c r="O44" i="2" s="1" a="1"/>
  <c r="O44" i="2" s="1"/>
  <c r="J45" i="2"/>
  <c r="O45" i="2" s="1" a="1"/>
  <c r="O45" i="2" s="1"/>
  <c r="J46" i="2"/>
  <c r="O46" i="2" s="1" a="1"/>
  <c r="O46" i="2" s="1"/>
  <c r="J47" i="2"/>
  <c r="O47" i="2" s="1" a="1"/>
  <c r="O47" i="2" s="1"/>
  <c r="J48" i="2"/>
  <c r="O48" i="2" s="1" a="1"/>
  <c r="O48" i="2" s="1"/>
  <c r="J49" i="2"/>
  <c r="O49" i="2" s="1" a="1"/>
  <c r="O49" i="2" s="1"/>
  <c r="J50" i="2"/>
  <c r="O50" i="2" s="1" a="1"/>
  <c r="O50" i="2" s="1"/>
  <c r="J51" i="2"/>
  <c r="O51" i="2" s="1" a="1"/>
  <c r="O51" i="2" s="1"/>
  <c r="J52" i="2"/>
  <c r="O52" i="2" s="1" a="1"/>
  <c r="O52" i="2" s="1"/>
  <c r="J53" i="2"/>
  <c r="O53" i="2" s="1" a="1"/>
  <c r="O53" i="2" s="1"/>
  <c r="J54" i="2"/>
  <c r="O54" i="2" s="1" a="1"/>
  <c r="O54" i="2" s="1"/>
  <c r="J55" i="2"/>
  <c r="O55" i="2" s="1" a="1"/>
  <c r="O55" i="2" s="1"/>
  <c r="J56" i="2"/>
  <c r="O56" i="2" s="1" a="1"/>
  <c r="O56" i="2" s="1"/>
  <c r="J57" i="2"/>
  <c r="O57" i="2" s="1" a="1"/>
  <c r="O57" i="2" s="1"/>
  <c r="J58" i="2"/>
  <c r="O58" i="2" s="1" a="1"/>
  <c r="O58" i="2" s="1"/>
  <c r="J59" i="2"/>
  <c r="O59" i="2" s="1" a="1"/>
  <c r="O59" i="2" s="1"/>
  <c r="J60" i="2"/>
  <c r="O60" i="2" s="1" a="1"/>
  <c r="O60" i="2" s="1"/>
  <c r="J61" i="2"/>
  <c r="O61" i="2" s="1" a="1"/>
  <c r="O61" i="2" s="1"/>
  <c r="J62" i="2"/>
  <c r="O62" i="2" s="1" a="1"/>
  <c r="O62" i="2" s="1"/>
  <c r="J63" i="2"/>
  <c r="O63" i="2" s="1" a="1"/>
  <c r="O63" i="2" s="1"/>
  <c r="J64" i="2"/>
  <c r="O64" i="2" s="1" a="1"/>
  <c r="O64" i="2" s="1"/>
  <c r="J65" i="2"/>
  <c r="O65" i="2" s="1" a="1"/>
  <c r="O65" i="2" s="1"/>
  <c r="J66" i="2"/>
  <c r="O66" i="2" s="1" a="1"/>
  <c r="O66" i="2" s="1"/>
  <c r="J67" i="2"/>
  <c r="O67" i="2" s="1" a="1"/>
  <c r="O67" i="2" s="1"/>
  <c r="J68" i="2"/>
  <c r="O68" i="2" s="1" a="1"/>
  <c r="O68" i="2" s="1"/>
  <c r="J69" i="2"/>
  <c r="O69" i="2" s="1" a="1"/>
  <c r="O69" i="2" s="1"/>
  <c r="J70" i="2"/>
  <c r="O70" i="2" s="1" a="1"/>
  <c r="O70" i="2" s="1"/>
  <c r="J71" i="2"/>
  <c r="O71" i="2" s="1" a="1"/>
  <c r="O71" i="2" s="1"/>
  <c r="J72" i="2"/>
  <c r="O72" i="2" s="1" a="1"/>
  <c r="O72" i="2" s="1"/>
  <c r="J73" i="2"/>
  <c r="O73" i="2" s="1" a="1"/>
  <c r="O73" i="2" s="1"/>
  <c r="J74" i="2"/>
  <c r="O74" i="2" s="1" a="1"/>
  <c r="O74" i="2" s="1"/>
  <c r="J75" i="2"/>
  <c r="O75" i="2" s="1" a="1"/>
  <c r="O75" i="2" s="1"/>
  <c r="J76" i="2"/>
  <c r="O76" i="2" s="1" a="1"/>
  <c r="O76" i="2" s="1"/>
  <c r="J77" i="2"/>
  <c r="O77" i="2" s="1" a="1"/>
  <c r="O77" i="2" s="1"/>
  <c r="J78" i="2"/>
  <c r="O78" i="2" s="1" a="1"/>
  <c r="O78" i="2" s="1"/>
  <c r="J79" i="2"/>
  <c r="O79" i="2" s="1" a="1"/>
  <c r="O79" i="2" s="1"/>
  <c r="J80" i="2"/>
  <c r="O80" i="2" s="1" a="1"/>
  <c r="O80" i="2" s="1"/>
  <c r="J81" i="2"/>
  <c r="O81" i="2" s="1" a="1"/>
  <c r="O81" i="2" s="1"/>
  <c r="J82" i="2"/>
  <c r="O82" i="2" s="1" a="1"/>
  <c r="O82" i="2" s="1"/>
  <c r="J83" i="2"/>
  <c r="O83" i="2" s="1" a="1"/>
  <c r="O83" i="2" s="1"/>
  <c r="J84" i="2"/>
  <c r="O84" i="2" s="1" a="1"/>
  <c r="O84" i="2" s="1"/>
  <c r="J85" i="2"/>
  <c r="O85" i="2" s="1" a="1"/>
  <c r="O85" i="2" s="1"/>
  <c r="J86" i="2"/>
  <c r="O86" i="2" s="1" a="1"/>
  <c r="O86" i="2" s="1"/>
  <c r="J87" i="2"/>
  <c r="O87" i="2" s="1" a="1"/>
  <c r="O87" i="2" s="1"/>
  <c r="J88" i="2"/>
  <c r="O88" i="2" s="1" a="1"/>
  <c r="O88" i="2" s="1"/>
  <c r="J89" i="2"/>
  <c r="O89" i="2" s="1" a="1"/>
  <c r="O89" i="2" s="1"/>
  <c r="J90" i="2"/>
  <c r="O90" i="2" s="1" a="1"/>
  <c r="O90" i="2" s="1"/>
  <c r="J91" i="2"/>
  <c r="O91" i="2" s="1" a="1"/>
  <c r="O91" i="2" s="1"/>
  <c r="J92" i="2"/>
  <c r="O92" i="2" s="1" a="1"/>
  <c r="O92" i="2" s="1"/>
  <c r="J93" i="2"/>
  <c r="O93" i="2" s="1" a="1"/>
  <c r="O93" i="2" s="1"/>
  <c r="J94" i="2"/>
  <c r="O94" i="2" s="1" a="1"/>
  <c r="O94" i="2" s="1"/>
  <c r="J95" i="2"/>
  <c r="O95" i="2" s="1" a="1"/>
  <c r="O95" i="2" s="1"/>
  <c r="J96" i="2"/>
  <c r="O96" i="2" s="1" a="1"/>
  <c r="O96" i="2" s="1"/>
  <c r="J97" i="2"/>
  <c r="O97" i="2" s="1" a="1"/>
  <c r="O97" i="2" s="1"/>
  <c r="J98" i="2"/>
  <c r="O98" i="2" s="1" a="1"/>
  <c r="O98" i="2" s="1"/>
  <c r="J99" i="2"/>
  <c r="O99" i="2" s="1" a="1"/>
  <c r="O99" i="2" s="1"/>
  <c r="J100" i="2"/>
  <c r="O100" i="2" s="1" a="1"/>
  <c r="O100" i="2" s="1"/>
  <c r="J139" i="2"/>
  <c r="O139" i="2" s="1" a="1"/>
  <c r="O139" i="2" s="1"/>
  <c r="J140" i="2"/>
  <c r="O140" i="2" s="1" a="1"/>
  <c r="O140" i="2" s="1"/>
  <c r="H42" i="4" l="1"/>
  <c r="F10" i="10"/>
  <c r="F36" i="4"/>
  <c r="G141" i="10" l="1"/>
  <c r="H141" i="10"/>
  <c r="F64" i="7"/>
  <c r="D64" i="7"/>
  <c r="J23" i="7"/>
  <c r="I23" i="7"/>
  <c r="K23" i="7" l="1"/>
  <c r="F23" i="7"/>
  <c r="D107" i="8" l="1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26" i="8"/>
  <c r="I25" i="8"/>
  <c r="I24" i="8"/>
  <c r="I23" i="8"/>
  <c r="I22" i="8"/>
  <c r="J22" i="8" s="1"/>
  <c r="I21" i="8"/>
  <c r="J21" i="8" s="1"/>
  <c r="I20" i="8"/>
  <c r="J20" i="8" s="1"/>
  <c r="I19" i="8"/>
  <c r="J19" i="8" s="1"/>
  <c r="I18" i="8"/>
  <c r="J18" i="8" s="1"/>
  <c r="I17" i="8"/>
  <c r="J17" i="8" s="1"/>
  <c r="I16" i="8"/>
  <c r="J16" i="8" s="1"/>
  <c r="I15" i="8"/>
  <c r="J15" i="8" s="1"/>
  <c r="I14" i="8"/>
  <c r="J14" i="8" s="1"/>
  <c r="C68" i="7"/>
  <c r="C40" i="7"/>
  <c r="D57" i="7"/>
  <c r="C57" i="7"/>
  <c r="F57" i="7"/>
  <c r="G57" i="7"/>
  <c r="H54" i="7"/>
  <c r="H53" i="7"/>
  <c r="H44" i="7"/>
  <c r="D65" i="7"/>
  <c r="D63" i="7"/>
  <c r="D62" i="7"/>
  <c r="D61" i="7"/>
  <c r="E54" i="7"/>
  <c r="E53" i="7"/>
  <c r="H52" i="7"/>
  <c r="E52" i="7"/>
  <c r="H51" i="7"/>
  <c r="E51" i="7"/>
  <c r="H50" i="7"/>
  <c r="E50" i="7"/>
  <c r="H49" i="7"/>
  <c r="E49" i="7"/>
  <c r="H48" i="7"/>
  <c r="E48" i="7"/>
  <c r="H47" i="7"/>
  <c r="E47" i="7"/>
  <c r="H46" i="7"/>
  <c r="E46" i="7"/>
  <c r="H45" i="7"/>
  <c r="E45" i="7"/>
  <c r="E44" i="7"/>
  <c r="D37" i="7"/>
  <c r="D36" i="7"/>
  <c r="D35" i="7"/>
  <c r="D34" i="7"/>
  <c r="D33" i="7"/>
  <c r="J27" i="7"/>
  <c r="I27" i="7"/>
  <c r="J26" i="7"/>
  <c r="I26" i="7"/>
  <c r="J25" i="7"/>
  <c r="I25" i="7"/>
  <c r="F27" i="7"/>
  <c r="F26" i="7"/>
  <c r="F25" i="7"/>
  <c r="J24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J5" i="7"/>
  <c r="J4" i="7"/>
  <c r="I24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" i="7"/>
  <c r="G10" i="9" l="1"/>
  <c r="M10" i="9"/>
  <c r="J10" i="9"/>
  <c r="H10" i="9"/>
  <c r="K10" i="9"/>
  <c r="I10" i="9"/>
  <c r="L10" i="9"/>
  <c r="F62" i="7"/>
  <c r="F34" i="7"/>
  <c r="F36" i="7"/>
  <c r="D68" i="7"/>
  <c r="I48" i="7"/>
  <c r="F65" i="7"/>
  <c r="I52" i="7"/>
  <c r="D40" i="7"/>
  <c r="D10" i="9"/>
  <c r="K6" i="7"/>
  <c r="K10" i="7"/>
  <c r="K14" i="7"/>
  <c r="B49" i="7" s="1"/>
  <c r="K18" i="7"/>
  <c r="K22" i="7"/>
  <c r="K7" i="7"/>
  <c r="B36" i="7" s="1"/>
  <c r="K11" i="7"/>
  <c r="K15" i="7"/>
  <c r="B50" i="7" s="1"/>
  <c r="K19" i="7"/>
  <c r="K24" i="7"/>
  <c r="B65" i="7" s="1"/>
  <c r="K8" i="7"/>
  <c r="K12" i="7"/>
  <c r="K16" i="7"/>
  <c r="K20" i="7"/>
  <c r="K4" i="7"/>
  <c r="B33" i="7" s="1"/>
  <c r="D10" i="10"/>
  <c r="E10" i="9"/>
  <c r="E10" i="10"/>
  <c r="B10" i="9"/>
  <c r="C10" i="9"/>
  <c r="B10" i="10"/>
  <c r="C10" i="10"/>
  <c r="F3" i="9"/>
  <c r="B10" i="8"/>
  <c r="K26" i="7"/>
  <c r="K27" i="7"/>
  <c r="K25" i="7"/>
  <c r="K5" i="7"/>
  <c r="K9" i="7"/>
  <c r="B44" i="7" s="1"/>
  <c r="K13" i="7"/>
  <c r="K17" i="7"/>
  <c r="B52" i="7" s="1"/>
  <c r="K21" i="7"/>
  <c r="F6" i="7"/>
  <c r="F18" i="7"/>
  <c r="F7" i="7"/>
  <c r="F11" i="7"/>
  <c r="F15" i="7"/>
  <c r="F19" i="7"/>
  <c r="F24" i="7"/>
  <c r="F4" i="7"/>
  <c r="F10" i="7"/>
  <c r="F8" i="7"/>
  <c r="F12" i="7"/>
  <c r="F16" i="7"/>
  <c r="F20" i="7"/>
  <c r="F14" i="7"/>
  <c r="F22" i="7"/>
  <c r="F5" i="7"/>
  <c r="F9" i="7"/>
  <c r="F13" i="7"/>
  <c r="F17" i="7"/>
  <c r="F21" i="7"/>
  <c r="I45" i="7"/>
  <c r="I49" i="7"/>
  <c r="I54" i="7"/>
  <c r="I53" i="7"/>
  <c r="I50" i="7"/>
  <c r="I51" i="7"/>
  <c r="H57" i="7"/>
  <c r="I46" i="7"/>
  <c r="E57" i="7"/>
  <c r="I47" i="7"/>
  <c r="F37" i="7"/>
  <c r="F63" i="7"/>
  <c r="F35" i="7"/>
  <c r="I44" i="7"/>
  <c r="F61" i="7"/>
  <c r="F33" i="7"/>
  <c r="B28" i="7"/>
  <c r="G28" i="7"/>
  <c r="C28" i="7"/>
  <c r="H28" i="7"/>
  <c r="D28" i="7"/>
  <c r="I28" i="7"/>
  <c r="E28" i="7"/>
  <c r="J28" i="7"/>
  <c r="B55" i="7" l="1"/>
  <c r="J55" i="7" s="1"/>
  <c r="K55" i="7" s="1"/>
  <c r="B38" i="7"/>
  <c r="G38" i="7" s="1"/>
  <c r="H38" i="7" s="1"/>
  <c r="B56" i="7"/>
  <c r="J56" i="7" s="1"/>
  <c r="K56" i="7" s="1"/>
  <c r="B67" i="7"/>
  <c r="G67" i="7" s="1"/>
  <c r="H67" i="7" s="1"/>
  <c r="B39" i="7"/>
  <c r="G39" i="7" s="1"/>
  <c r="H39" i="7" s="1"/>
  <c r="B66" i="7"/>
  <c r="G66" i="7" s="1"/>
  <c r="H66" i="7" s="1"/>
  <c r="B62" i="7"/>
  <c r="G62" i="7" s="1"/>
  <c r="H62" i="7" s="1"/>
  <c r="B46" i="7"/>
  <c r="J46" i="7" s="1"/>
  <c r="K46" i="7" s="1"/>
  <c r="B45" i="7"/>
  <c r="J45" i="7" s="1"/>
  <c r="K45" i="7" s="1"/>
  <c r="B35" i="7"/>
  <c r="G35" i="7" s="1"/>
  <c r="H35" i="7" s="1"/>
  <c r="B53" i="7"/>
  <c r="J53" i="7" s="1"/>
  <c r="K53" i="7" s="1"/>
  <c r="B61" i="7"/>
  <c r="G61" i="7" s="1"/>
  <c r="H61" i="7" s="1"/>
  <c r="B34" i="7"/>
  <c r="G34" i="7" s="1"/>
  <c r="H34" i="7" s="1"/>
  <c r="B64" i="7"/>
  <c r="G64" i="7" s="1"/>
  <c r="H64" i="7" s="1"/>
  <c r="B63" i="7"/>
  <c r="G63" i="7" s="1"/>
  <c r="H63" i="7" s="1"/>
  <c r="B47" i="7"/>
  <c r="J47" i="7" s="1"/>
  <c r="K47" i="7" s="1"/>
  <c r="B37" i="7"/>
  <c r="B51" i="7"/>
  <c r="J51" i="7" s="1"/>
  <c r="K51" i="7" s="1"/>
  <c r="B54" i="7"/>
  <c r="J54" i="7" s="1"/>
  <c r="K54" i="7" s="1"/>
  <c r="B48" i="7"/>
  <c r="J48" i="7" s="1"/>
  <c r="K48" i="7" s="1"/>
  <c r="G36" i="7"/>
  <c r="H36" i="7" s="1"/>
  <c r="G65" i="7"/>
  <c r="H65" i="7" s="1"/>
  <c r="D70" i="7"/>
  <c r="C70" i="7" s="1"/>
  <c r="J52" i="7"/>
  <c r="K52" i="7" s="1"/>
  <c r="J49" i="7"/>
  <c r="K49" i="7" s="1"/>
  <c r="J50" i="7"/>
  <c r="K50" i="7" s="1"/>
  <c r="F10" i="9"/>
  <c r="F68" i="7"/>
  <c r="K28" i="7"/>
  <c r="I57" i="7"/>
  <c r="G33" i="7"/>
  <c r="H33" i="7" s="1"/>
  <c r="F40" i="7"/>
  <c r="J44" i="7"/>
  <c r="F28" i="7"/>
  <c r="B68" i="7" l="1"/>
  <c r="B40" i="7"/>
  <c r="G37" i="7"/>
  <c r="H37" i="7" s="1"/>
  <c r="B57" i="7"/>
  <c r="B70" i="7" s="1"/>
  <c r="J57" i="7"/>
  <c r="K57" i="7" s="1"/>
  <c r="F70" i="7"/>
  <c r="G68" i="7"/>
  <c r="H68" i="7" s="1"/>
  <c r="K44" i="7"/>
  <c r="G40" i="7"/>
  <c r="G70" i="7" l="1"/>
  <c r="H70" i="7" s="1"/>
  <c r="H40" i="7"/>
  <c r="Q8" i="6" l="1"/>
  <c r="L158" i="2"/>
  <c r="Q8" i="4"/>
  <c r="N158" i="2"/>
  <c r="M158" i="2"/>
  <c r="J157" i="2"/>
  <c r="O157" i="2" s="1" a="1"/>
  <c r="O157" i="2" s="1"/>
  <c r="J156" i="2"/>
  <c r="O156" i="2" s="1" a="1"/>
  <c r="O156" i="2" s="1"/>
  <c r="J155" i="2"/>
  <c r="O155" i="2" s="1" a="1"/>
  <c r="O155" i="2" s="1"/>
  <c r="J154" i="2"/>
  <c r="O154" i="2" s="1" a="1"/>
  <c r="O154" i="2" s="1"/>
  <c r="J153" i="2"/>
  <c r="O153" i="2" s="1" a="1"/>
  <c r="O153" i="2" s="1"/>
  <c r="J152" i="2"/>
  <c r="O152" i="2" s="1" a="1"/>
  <c r="O152" i="2" s="1"/>
  <c r="J151" i="2"/>
  <c r="O151" i="2" s="1" a="1"/>
  <c r="O151" i="2" s="1"/>
  <c r="J150" i="2"/>
  <c r="O150" i="2" s="1" a="1"/>
  <c r="O150" i="2" s="1"/>
  <c r="J149" i="2"/>
  <c r="O149" i="2" s="1" a="1"/>
  <c r="O149" i="2" s="1"/>
  <c r="J148" i="2"/>
  <c r="O148" i="2" s="1" a="1"/>
  <c r="O148" i="2" s="1"/>
  <c r="J147" i="2"/>
  <c r="O147" i="2" s="1" a="1"/>
  <c r="O147" i="2" s="1"/>
  <c r="J146" i="2"/>
  <c r="O146" i="2" s="1" a="1"/>
  <c r="O146" i="2" s="1"/>
  <c r="J145" i="2"/>
  <c r="O145" i="2" s="1" a="1"/>
  <c r="O145" i="2" s="1"/>
  <c r="J144" i="2"/>
  <c r="O144" i="2" s="1" a="1"/>
  <c r="O144" i="2" s="1"/>
  <c r="J143" i="2"/>
  <c r="O143" i="2" s="1" a="1"/>
  <c r="O143" i="2" s="1"/>
  <c r="J142" i="2"/>
  <c r="O142" i="2" s="1" a="1"/>
  <c r="O142" i="2" s="1"/>
  <c r="J141" i="2"/>
  <c r="O141" i="2" s="1" a="1"/>
  <c r="O141" i="2" s="1"/>
  <c r="J3" i="2"/>
  <c r="O3" i="2" s="1" a="1"/>
  <c r="O3" i="2" s="1"/>
  <c r="J42" i="2"/>
  <c r="O42" i="2" s="1" a="1"/>
  <c r="O42" i="2" s="1"/>
  <c r="J49" i="6" s="1"/>
  <c r="J40" i="2"/>
  <c r="O40" i="2" s="1" a="1"/>
  <c r="O40" i="2" s="1"/>
  <c r="J39" i="2"/>
  <c r="O39" i="2" s="1" a="1"/>
  <c r="O39" i="2" s="1"/>
  <c r="K49" i="6" s="1"/>
  <c r="J38" i="2"/>
  <c r="O38" i="2" s="1" a="1"/>
  <c r="O38" i="2" s="1"/>
  <c r="J37" i="2"/>
  <c r="O37" i="2" s="1" a="1"/>
  <c r="O37" i="2" s="1"/>
  <c r="J36" i="2"/>
  <c r="O36" i="2" s="1" a="1"/>
  <c r="O36" i="2" s="1"/>
  <c r="J35" i="2"/>
  <c r="O35" i="2" s="1" a="1"/>
  <c r="O35" i="2" s="1"/>
  <c r="J34" i="2"/>
  <c r="O34" i="2" s="1" a="1"/>
  <c r="O34" i="2" s="1"/>
  <c r="I49" i="6" l="1"/>
  <c r="H42" i="6"/>
  <c r="H49" i="6"/>
  <c r="I45" i="6"/>
  <c r="I45" i="4"/>
  <c r="I44" i="6"/>
  <c r="J49" i="4"/>
  <c r="J44" i="6"/>
  <c r="K49" i="4"/>
  <c r="K43" i="6"/>
  <c r="H44" i="4"/>
  <c r="H43" i="6"/>
  <c r="I42" i="6"/>
  <c r="I49" i="4"/>
  <c r="H45" i="4"/>
  <c r="H49" i="4"/>
  <c r="I44" i="4"/>
  <c r="K42" i="4"/>
  <c r="J42" i="4"/>
  <c r="G12" i="6"/>
  <c r="C12" i="6"/>
  <c r="D12" i="6"/>
  <c r="E12" i="6"/>
  <c r="K12" i="6"/>
  <c r="J12" i="4"/>
  <c r="B12" i="6"/>
  <c r="F5" i="6"/>
  <c r="H12" i="6"/>
  <c r="I12" i="6"/>
  <c r="J12" i="6"/>
  <c r="K12" i="4"/>
  <c r="G12" i="4"/>
  <c r="H12" i="4"/>
  <c r="I24" i="6"/>
  <c r="J24" i="6"/>
  <c r="H24" i="6"/>
  <c r="G24" i="6"/>
  <c r="K24" i="6"/>
  <c r="E24" i="6"/>
  <c r="C24" i="6"/>
  <c r="F17" i="6"/>
  <c r="B24" i="6"/>
  <c r="D24" i="6"/>
  <c r="E24" i="4"/>
  <c r="H24" i="4"/>
  <c r="J24" i="4"/>
  <c r="G24" i="4"/>
  <c r="K24" i="4"/>
  <c r="C24" i="4"/>
  <c r="D24" i="4"/>
  <c r="I24" i="4"/>
  <c r="B24" i="4"/>
  <c r="F17" i="4"/>
  <c r="D12" i="4"/>
  <c r="E12" i="4"/>
  <c r="C12" i="4"/>
  <c r="F5" i="4"/>
  <c r="B12" i="4"/>
  <c r="I12" i="4" l="1"/>
  <c r="J36" i="6"/>
  <c r="F12" i="6"/>
  <c r="C36" i="6"/>
  <c r="D36" i="6"/>
  <c r="I36" i="6"/>
  <c r="G36" i="6"/>
  <c r="E36" i="6"/>
  <c r="H36" i="6"/>
  <c r="K36" i="6"/>
  <c r="I36" i="4"/>
  <c r="K36" i="4"/>
  <c r="J36" i="4"/>
  <c r="D36" i="4"/>
  <c r="C36" i="4"/>
  <c r="G36" i="4"/>
  <c r="H36" i="4"/>
  <c r="E36" i="4"/>
  <c r="B36" i="4"/>
  <c r="F24" i="6"/>
  <c r="F24" i="4"/>
  <c r="B36" i="6"/>
  <c r="F12" i="4"/>
  <c r="F36" i="6" l="1"/>
  <c r="Q9" i="4"/>
  <c r="Q9" i="6"/>
  <c r="P9" i="6" s="1"/>
  <c r="P10" i="6" l="1"/>
  <c r="Q10" i="6"/>
  <c r="P9" i="4"/>
  <c r="P10" i="4"/>
  <c r="Q1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 Harlow</author>
  </authors>
  <commentList>
    <comment ref="D43" authorId="0" shapeId="0" xr:uid="{28543DD0-8AE2-4D7F-9962-1BEBD59EF1E9}">
      <text>
        <r>
          <rPr>
            <b/>
            <sz val="9"/>
            <color indexed="81"/>
            <rFont val="Tahoma"/>
            <family val="2"/>
          </rPr>
          <t>Chris Harlow:</t>
        </r>
        <r>
          <rPr>
            <sz val="9"/>
            <color indexed="81"/>
            <rFont val="Tahoma"/>
            <family val="2"/>
          </rPr>
          <t xml:space="preserve">
Only add once 60 days from the seminar date has passed.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<sst xmlns="http://schemas.openxmlformats.org/spreadsheetml/2006/main" count="1018" uniqueCount="295">
  <si>
    <t>Investment Type</t>
  </si>
  <si>
    <t>Company</t>
  </si>
  <si>
    <t>Date
Client Signed</t>
  </si>
  <si>
    <t>Date
Application
Submitted</t>
  </si>
  <si>
    <t>Date of Report</t>
  </si>
  <si>
    <t>Days Out</t>
  </si>
  <si>
    <t>TOTAL</t>
  </si>
  <si>
    <t>Weekly Calls to Clients with Pending Accounts Completed?</t>
  </si>
  <si>
    <t>Yes or No</t>
  </si>
  <si>
    <t>CRM Updated with Most Recent Status for Each Account?</t>
  </si>
  <si>
    <t>Number of NIGOs and Apps. Submitted Not in Good Order?</t>
  </si>
  <si>
    <t>AE06164302 - for internal use only.</t>
  </si>
  <si>
    <t>AUM</t>
  </si>
  <si>
    <t>TD Ameritrade</t>
  </si>
  <si>
    <t>Client First Name</t>
  </si>
  <si>
    <t>Client Last Name</t>
  </si>
  <si>
    <t>Agent</t>
  </si>
  <si>
    <t>Mark</t>
  </si>
  <si>
    <t>Rachel</t>
  </si>
  <si>
    <t>Deiter</t>
  </si>
  <si>
    <t>Last Follow
Up Date</t>
  </si>
  <si>
    <t>Asset Breakdown</t>
  </si>
  <si>
    <t>Quarter-by-Quarter Breakdown</t>
  </si>
  <si>
    <t>Annuity</t>
  </si>
  <si>
    <t>Life</t>
  </si>
  <si>
    <t>Total</t>
  </si>
  <si>
    <t>Q1</t>
  </si>
  <si>
    <t>Q2</t>
  </si>
  <si>
    <t>Q3</t>
  </si>
  <si>
    <t>Q4</t>
  </si>
  <si>
    <t>Advisor</t>
  </si>
  <si>
    <t>Chris</t>
  </si>
  <si>
    <t>Mike</t>
  </si>
  <si>
    <t>John</t>
  </si>
  <si>
    <t>Totals</t>
  </si>
  <si>
    <t>CSR</t>
  </si>
  <si>
    <t>Lead Source</t>
  </si>
  <si>
    <t>Radio-Unknown</t>
  </si>
  <si>
    <t>Seminar-Morton's</t>
  </si>
  <si>
    <t>Seminar-Sayler's</t>
  </si>
  <si>
    <t>Seminar-Lapellah</t>
  </si>
  <si>
    <t>Seminar-Heathman</t>
  </si>
  <si>
    <t>Seminar-RuthsChris</t>
  </si>
  <si>
    <t>Seminar-Hammond</t>
  </si>
  <si>
    <t>Seminar-Salty's</t>
  </si>
  <si>
    <t>Seminar-M&amp;S</t>
  </si>
  <si>
    <t>STEEP-CLACK</t>
  </si>
  <si>
    <t>STEEP-VAN</t>
  </si>
  <si>
    <t>Website/Call-In</t>
  </si>
  <si>
    <t>Referral</t>
  </si>
  <si>
    <t>Unknown</t>
  </si>
  <si>
    <t>RD</t>
  </si>
  <si>
    <t>HS</t>
  </si>
  <si>
    <t>MD</t>
  </si>
  <si>
    <t>LB</t>
  </si>
  <si>
    <t>Notes</t>
  </si>
  <si>
    <t>Med Supp</t>
  </si>
  <si>
    <t>Percent of Year Complete</t>
  </si>
  <si>
    <t>Goal Completed to Date</t>
  </si>
  <si>
    <t>Over/Under Goal</t>
  </si>
  <si>
    <t>Overall Average</t>
  </si>
  <si>
    <t>Average Days to Issue</t>
  </si>
  <si>
    <t>Quarter</t>
  </si>
  <si>
    <t>Prior Yr</t>
  </si>
  <si>
    <t>AUM @ 1%</t>
  </si>
  <si>
    <t>Annuity @ 6%</t>
  </si>
  <si>
    <t>Life @ 6%</t>
  </si>
  <si>
    <t>Med Supp @ 20%</t>
  </si>
  <si>
    <t>Total Combined</t>
  </si>
  <si>
    <t>Cost per</t>
  </si>
  <si>
    <t>Estimated</t>
  </si>
  <si>
    <t>% of Year</t>
  </si>
  <si>
    <t>Spend</t>
  </si>
  <si>
    <t>ROI</t>
  </si>
  <si>
    <t>Revenue</t>
  </si>
  <si>
    <t>Week</t>
  </si>
  <si>
    <t>Total Cost</t>
  </si>
  <si>
    <t>Completed</t>
  </si>
  <si>
    <t>To Date</t>
  </si>
  <si>
    <t>per $1</t>
  </si>
  <si>
    <t>RADIO TOTALS:</t>
  </si>
  <si>
    <t>Total # of</t>
  </si>
  <si>
    <t>Held</t>
  </si>
  <si>
    <t>% of Total</t>
  </si>
  <si>
    <t>Avg Mailing $/</t>
  </si>
  <si>
    <t>Avg Food $/</t>
  </si>
  <si>
    <t xml:space="preserve">Estimated </t>
  </si>
  <si>
    <t>Seminar nights</t>
  </si>
  <si>
    <t>to Date</t>
  </si>
  <si>
    <t>Seminar Night</t>
  </si>
  <si>
    <t>Seminar Totals:</t>
  </si>
  <si>
    <t>Month/Event</t>
  </si>
  <si>
    <t>Net Return</t>
  </si>
  <si>
    <t>Date
Submitted</t>
  </si>
  <si>
    <t>Last Name</t>
  </si>
  <si>
    <t>Date Lost</t>
  </si>
  <si>
    <t>Reason</t>
  </si>
  <si>
    <t>Fired</t>
  </si>
  <si>
    <t>Moving Firms w/o notification</t>
  </si>
  <si>
    <t>Liquidating - Needs Money</t>
  </si>
  <si>
    <t>Moving Firms w/ notification</t>
  </si>
  <si>
    <t>Self Managing</t>
  </si>
  <si>
    <t>Investment Performance</t>
  </si>
  <si>
    <t>Other</t>
  </si>
  <si>
    <t>Reasons</t>
  </si>
  <si>
    <t>First Name</t>
  </si>
  <si>
    <t>Existing Client</t>
  </si>
  <si>
    <t>Return By Source/Product</t>
  </si>
  <si>
    <t>Total Return</t>
  </si>
  <si>
    <t>From Firm</t>
  </si>
  <si>
    <t>To Firm</t>
  </si>
  <si>
    <t>To Investment Type</t>
  </si>
  <si>
    <t>Pending Amount</t>
  </si>
  <si>
    <t>Completed Amount</t>
  </si>
  <si>
    <t>Total Pending</t>
  </si>
  <si>
    <t>Total Completed</t>
  </si>
  <si>
    <t>Type of Service Request</t>
  </si>
  <si>
    <t>Beneficiary Change</t>
  </si>
  <si>
    <t>Inestment Type</t>
  </si>
  <si>
    <t>Smith</t>
  </si>
  <si>
    <t>Miller</t>
  </si>
  <si>
    <t>Olivia</t>
  </si>
  <si>
    <t>Newton</t>
  </si>
  <si>
    <t>Isabella</t>
  </si>
  <si>
    <t>Ngyun</t>
  </si>
  <si>
    <t>Doyle</t>
  </si>
  <si>
    <t>Leo</t>
  </si>
  <si>
    <t>Thomas</t>
  </si>
  <si>
    <t>Petty</t>
  </si>
  <si>
    <t>Grace</t>
  </si>
  <si>
    <t>Kelly</t>
  </si>
  <si>
    <t>Allianz</t>
  </si>
  <si>
    <t>Security Benefit</t>
  </si>
  <si>
    <t>Athene</t>
  </si>
  <si>
    <t>Aetna</t>
  </si>
  <si>
    <t>Lincoln</t>
  </si>
  <si>
    <t>Withdrawal</t>
  </si>
  <si>
    <t>RMD</t>
  </si>
  <si>
    <t>Allocation Change</t>
  </si>
  <si>
    <t>Plan Update</t>
  </si>
  <si>
    <t>Deposit</t>
  </si>
  <si>
    <t>Premium Payment</t>
  </si>
  <si>
    <t>Per TD, request processed on 2/26/22 and check was mailed on 3/2/22.</t>
  </si>
  <si>
    <t>Melanie</t>
  </si>
  <si>
    <t>Lost Business Reasons</t>
  </si>
  <si>
    <t>Client is disrespectful and rude to staff.</t>
  </si>
  <si>
    <t>Michael</t>
  </si>
  <si>
    <t>Ronald</t>
  </si>
  <si>
    <t>Philip</t>
  </si>
  <si>
    <t>Theresa</t>
  </si>
  <si>
    <t>Claire</t>
  </si>
  <si>
    <t>Amanda</t>
  </si>
  <si>
    <t>Michelle</t>
  </si>
  <si>
    <t>Austin</t>
  </si>
  <si>
    <t>Tyler</t>
  </si>
  <si>
    <t>Dane</t>
  </si>
  <si>
    <t>Joshua</t>
  </si>
  <si>
    <t>Beau</t>
  </si>
  <si>
    <t>Luka</t>
  </si>
  <si>
    <t>Howard</t>
  </si>
  <si>
    <t>Louise</t>
  </si>
  <si>
    <t>Steven</t>
  </si>
  <si>
    <t>Timothy</t>
  </si>
  <si>
    <t>Julie</t>
  </si>
  <si>
    <t>Shelley</t>
  </si>
  <si>
    <t>Shannon</t>
  </si>
  <si>
    <t>Ryan</t>
  </si>
  <si>
    <t>Meagan</t>
  </si>
  <si>
    <t>Jason</t>
  </si>
  <si>
    <t>Jones</t>
  </si>
  <si>
    <t>Martin</t>
  </si>
  <si>
    <t>Michaels</t>
  </si>
  <si>
    <t>Adams</t>
  </si>
  <si>
    <t>Conrad</t>
  </si>
  <si>
    <t>Becker</t>
  </si>
  <si>
    <t>Dexter</t>
  </si>
  <si>
    <t>Eubanks</t>
  </si>
  <si>
    <t>Fitzgerald</t>
  </si>
  <si>
    <t>Griffin</t>
  </si>
  <si>
    <t>Hill</t>
  </si>
  <si>
    <t>Inman</t>
  </si>
  <si>
    <t>Keller</t>
  </si>
  <si>
    <t>Lawson</t>
  </si>
  <si>
    <t>Norton</t>
  </si>
  <si>
    <t>Oliver</t>
  </si>
  <si>
    <t>Parker</t>
  </si>
  <si>
    <t>Quartz</t>
  </si>
  <si>
    <t>Riggins</t>
  </si>
  <si>
    <t>Underwood</t>
  </si>
  <si>
    <t>Vincent</t>
  </si>
  <si>
    <t>Williams</t>
  </si>
  <si>
    <t>Young</t>
  </si>
  <si>
    <t>Zeller</t>
  </si>
  <si>
    <t>Asbury</t>
  </si>
  <si>
    <t>Couldn't wait out the losses</t>
  </si>
  <si>
    <t>Decided to handle his own finances</t>
  </si>
  <si>
    <t>Buying a new RV</t>
  </si>
  <si>
    <t>Son became an agent</t>
  </si>
  <si>
    <t>Not happy with service</t>
  </si>
  <si>
    <t>Moving states and getting agent closer</t>
  </si>
  <si>
    <t>Thought there would be more growth</t>
  </si>
  <si>
    <t>Don't need any longer</t>
  </si>
  <si>
    <t>Wants something with more growth</t>
  </si>
  <si>
    <t>Buying a new car</t>
  </si>
  <si>
    <t>Unhappy with service</t>
  </si>
  <si>
    <t>Granddaughter became an agent</t>
  </si>
  <si>
    <t>Buying a summer home</t>
  </si>
  <si>
    <t>Moving into savings to prevent losses</t>
  </si>
  <si>
    <t>Product not what she thought</t>
  </si>
  <si>
    <t>Christina</t>
  </si>
  <si>
    <t>Gilbert</t>
  </si>
  <si>
    <t>Aliianz</t>
  </si>
  <si>
    <t>2023 Issued Business</t>
  </si>
  <si>
    <t>2023 Days to Issue</t>
  </si>
  <si>
    <t>2023 Pending Business</t>
  </si>
  <si>
    <t>2023 Pending Service Requests</t>
  </si>
  <si>
    <t>2023 Lost Asset Breakdown</t>
  </si>
  <si>
    <t>2023 Internal Transfer Breakdown</t>
  </si>
  <si>
    <t>2023 Marketing ROI</t>
  </si>
  <si>
    <t>2023 Business</t>
  </si>
  <si>
    <t>Client 
First Name</t>
  </si>
  <si>
    <t>Client 
Last Name</t>
  </si>
  <si>
    <t>Days
 to Issue</t>
  </si>
  <si>
    <t>Days 
Pending</t>
  </si>
  <si>
    <t>Application
Status</t>
  </si>
  <si>
    <t>Issued</t>
  </si>
  <si>
    <t>Pending</t>
  </si>
  <si>
    <t>Withdrawn</t>
  </si>
  <si>
    <t>2023 Withdrawn Business</t>
  </si>
  <si>
    <t>Radio-ABC</t>
  </si>
  <si>
    <t>Radio-XYZ</t>
  </si>
  <si>
    <t>Radio-LMNOP</t>
  </si>
  <si>
    <t>Radio-DEF</t>
  </si>
  <si>
    <t>College Course</t>
  </si>
  <si>
    <t>TV</t>
  </si>
  <si>
    <t>2023 Average Days Pending</t>
  </si>
  <si>
    <t>Average Days Pending</t>
  </si>
  <si>
    <t xml:space="preserve">Today's Date: </t>
  </si>
  <si>
    <t xml:space="preserve">First Day of Year: </t>
  </si>
  <si>
    <t>North American</t>
  </si>
  <si>
    <t>One America</t>
  </si>
  <si>
    <t>Equitrust</t>
  </si>
  <si>
    <t>American Equity</t>
  </si>
  <si>
    <t>Corebridge</t>
  </si>
  <si>
    <t>Delaware Life</t>
  </si>
  <si>
    <t>Americo</t>
  </si>
  <si>
    <t>Ameritas</t>
  </si>
  <si>
    <t>Symetra</t>
  </si>
  <si>
    <t>SILAC</t>
  </si>
  <si>
    <t>Nationwide</t>
  </si>
  <si>
    <t>National Western</t>
  </si>
  <si>
    <t>MassMutual Ascend</t>
  </si>
  <si>
    <t>Minnesota Life</t>
  </si>
  <si>
    <t>Brighthouse</t>
  </si>
  <si>
    <t>Other Sources</t>
  </si>
  <si>
    <t>Seminar Sources</t>
  </si>
  <si>
    <t>Radio Sources</t>
  </si>
  <si>
    <t>Other Total</t>
  </si>
  <si>
    <t>DATE:</t>
  </si>
  <si>
    <t>First Step: Fill in and update data in columns under red arrows</t>
  </si>
  <si>
    <t>Investment 
Type</t>
  </si>
  <si>
    <t>Asset 
Value</t>
  </si>
  <si>
    <t>Radio Lead Sources</t>
  </si>
  <si>
    <t>Seminar Lead Sources</t>
  </si>
  <si>
    <t>Other Lead Sources</t>
  </si>
  <si>
    <t>- Cost per month for each lead source</t>
  </si>
  <si>
    <t>- Cost per week for each lead source</t>
  </si>
  <si>
    <t>- # of Seminars planned for the year for each lead source
- # of Seminars held to date for each lead source
- Average mailing cost per seminar for each lead source
- Average food cost per seminar for each lead source</t>
  </si>
  <si>
    <t>Date Client 
Signed</t>
  </si>
  <si>
    <t>Issued 
Date</t>
  </si>
  <si>
    <t>Withdrawn 
Date</t>
  </si>
  <si>
    <t>Date of 
Report</t>
  </si>
  <si>
    <t>Cash 
Received 
with App.</t>
  </si>
  <si>
    <t>Estimated 
Transfer 
Amount</t>
  </si>
  <si>
    <t>Actual 
Amount 
Rec'd</t>
  </si>
  <si>
    <t>Last 
Follow Up 
Date</t>
  </si>
  <si>
    <t>Goal</t>
  </si>
  <si>
    <t>Fourth Step:  Track your activity</t>
  </si>
  <si>
    <t>2023 Business Log</t>
  </si>
  <si>
    <t>Pending Service Log</t>
  </si>
  <si>
    <t>Lost Business Log</t>
  </si>
  <si>
    <t>Internal Transfers</t>
  </si>
  <si>
    <t>Application 
Status</t>
  </si>
  <si>
    <t>Product 
Line</t>
  </si>
  <si>
    <r>
      <t xml:space="preserve">Third Step:  
Update the following information </t>
    </r>
    <r>
      <rPr>
        <b/>
        <u/>
        <sz val="11"/>
        <color theme="1"/>
        <rFont val="Cambria"/>
        <family val="1"/>
      </rPr>
      <t>ON THE</t>
    </r>
    <r>
      <rPr>
        <b/>
        <sz val="11"/>
        <color theme="1"/>
        <rFont val="Cambria"/>
        <family val="1"/>
      </rPr>
      <t xml:space="preserve"> Marketing ROI tab</t>
    </r>
  </si>
  <si>
    <t>Second Step:  Enter company's production goal for the year.</t>
  </si>
  <si>
    <t>Enter all service requests on established accounts that are currently pending at the carrier/custodian.</t>
  </si>
  <si>
    <t>Enter all NEW business for the year, including any accounts still pending at the end of the previous year and any withdrawn accounts.</t>
  </si>
  <si>
    <t>Enter any existing accounts that were lost during the year.</t>
  </si>
  <si>
    <t>Enter any new business generated from an existing account.</t>
  </si>
  <si>
    <t>Fifth Step:  Track your progress</t>
  </si>
  <si>
    <t>Agent YTD Summary</t>
  </si>
  <si>
    <t>CSR YTD Summar</t>
  </si>
  <si>
    <t>Provides goal progress, a summary of all pending, issued, and withdrawn business for the year, average days to issue, and average days pending  broken down by each producer.</t>
  </si>
  <si>
    <t>Provides goal progress, a summary of all pending, issued, and withdrawn business for the year, average days to issue, and average days pending  broken down by each customer service rep.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</si>
</sst>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  <numFmt numFmtId="165" formatCode="&quot;$&quot;#,##0"/>
    <numFmt numFmtId="166" formatCode="#,##0;\-#,##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11"/>
      <name val="Arial Narrow"/>
      <family val="2"/>
    </font>
    <font>
      <b/>
      <sz val="11"/>
      <color rgb="FFFFFF00"/>
      <name val="Arial Narrow"/>
      <family val="2"/>
    </font>
    <font>
      <sz val="11"/>
      <color theme="0" tint="-4.9989318521683403E-2"/>
      <name val="Arial Narrow"/>
      <family val="2"/>
    </font>
    <font>
      <sz val="11"/>
      <color theme="1"/>
      <name val="Arial Narrow"/>
      <family val="2"/>
    </font>
    <font>
      <sz val="11"/>
      <color rgb="FFFFFF00"/>
      <name val="Arial Narrow"/>
      <family val="2"/>
    </font>
    <font>
      <b/>
      <sz val="20"/>
      <color theme="0"/>
      <name val="Arial Narrow"/>
      <family val="2"/>
    </font>
    <font>
      <b/>
      <sz val="16"/>
      <color theme="0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20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0"/>
      <name val="Arial Narrow"/>
      <family val="2"/>
    </font>
    <font>
      <b/>
      <sz val="12"/>
      <color rgb="FFFFFF00"/>
      <name val="Arial Narrow"/>
      <family val="2"/>
    </font>
    <font>
      <sz val="10"/>
      <color rgb="FF000000"/>
      <name val="Verdana"/>
      <family val="2"/>
    </font>
    <font>
      <b/>
      <sz val="12"/>
      <color rgb="FF000000"/>
      <name val="Arial Narrow"/>
      <family val="2"/>
    </font>
    <font>
      <b/>
      <sz val="12"/>
      <name val="Arial Narrow"/>
      <family val="2"/>
    </font>
    <font>
      <sz val="10"/>
      <color theme="1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 Narrow"/>
      <family val="2"/>
    </font>
    <font>
      <sz val="12"/>
      <color theme="1"/>
      <name val="Arial Narrow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sz val="12"/>
      <color theme="1"/>
      <name val="Calibri"/>
      <family val="2"/>
      <scheme val="minor"/>
    </font>
    <font>
      <b/>
      <sz val="11"/>
      <color theme="1"/>
      <name val="Cambria"/>
      <family val="1"/>
    </font>
    <font>
      <b/>
      <u/>
      <sz val="11"/>
      <color theme="1"/>
      <name val="Cambria"/>
      <family val="1"/>
    </font>
    <font>
      <b/>
      <sz val="14"/>
      <color theme="1"/>
      <name val="Calibri"/>
      <family val="2"/>
      <scheme val="minor"/>
    </font>
    <font>
      <b/>
      <sz val="22"/>
      <color rgb="FF7030A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7030A0"/>
        <bgColor theme="4"/>
      </patternFill>
    </fill>
    <fill>
      <patternFill patternType="solid">
        <fgColor rgb="FFC0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theme="7"/>
      </patternFill>
    </fill>
    <fill>
      <patternFill patternType="solid">
        <fgColor rgb="FFFF9B9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medium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7" tint="0.39997558519241921"/>
      </top>
      <bottom/>
      <diagonal/>
    </border>
    <border>
      <left style="thin">
        <color theme="0"/>
      </left>
      <right/>
      <top style="thin">
        <color theme="7" tint="0.39997558519241921"/>
      </top>
      <bottom/>
      <diagonal/>
    </border>
    <border>
      <left style="thin">
        <color theme="7" tint="0.39997558519241921"/>
      </left>
      <right/>
      <top/>
      <bottom style="thin">
        <color theme="7" tint="0.39997558519241921"/>
      </bottom>
      <diagonal/>
    </border>
    <border>
      <left/>
      <right/>
      <top/>
      <bottom style="thin">
        <color theme="7" tint="0.39997558519241921"/>
      </bottom>
      <diagonal/>
    </border>
    <border>
      <left/>
      <right style="thin">
        <color theme="7" tint="0.39997558519241921"/>
      </right>
      <top/>
      <bottom style="thin">
        <color theme="7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</cellStyleXfs>
  <cellXfs count="362">
    <xf numFmtId="0" fontId="0" fillId="0" borderId="0" xfId="0"/>
    <xf numFmtId="0" fontId="0" fillId="0" borderId="0" xfId="0" applyAlignment="1">
      <alignment horizontal="center"/>
    </xf>
    <xf numFmtId="0" fontId="2" fillId="0" borderId="9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4" fillId="0" borderId="11" xfId="0" applyFont="1" applyBorder="1" applyAlignment="1">
      <alignment horizontal="center"/>
    </xf>
    <xf numFmtId="10" fontId="0" fillId="0" borderId="24" xfId="2" applyNumberFormat="1" applyFont="1" applyBorder="1" applyAlignment="1">
      <alignment horizontal="center"/>
    </xf>
    <xf numFmtId="165" fontId="0" fillId="0" borderId="24" xfId="0" applyNumberFormat="1" applyBorder="1" applyAlignment="1">
      <alignment horizontal="center"/>
    </xf>
    <xf numFmtId="10" fontId="16" fillId="0" borderId="24" xfId="0" applyNumberFormat="1" applyFont="1" applyBorder="1" applyAlignment="1">
      <alignment horizontal="center"/>
    </xf>
    <xf numFmtId="6" fontId="0" fillId="0" borderId="24" xfId="0" applyNumberFormat="1" applyBorder="1" applyAlignment="1">
      <alignment horizontal="center"/>
    </xf>
    <xf numFmtId="44" fontId="9" fillId="6" borderId="15" xfId="0" applyNumberFormat="1" applyFont="1" applyFill="1" applyBorder="1" applyAlignment="1">
      <alignment horizontal="center"/>
    </xf>
    <xf numFmtId="0" fontId="13" fillId="0" borderId="14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44" fontId="14" fillId="6" borderId="10" xfId="0" applyNumberFormat="1" applyFont="1" applyFill="1" applyBorder="1" applyAlignment="1">
      <alignment horizontal="center"/>
    </xf>
    <xf numFmtId="165" fontId="13" fillId="0" borderId="0" xfId="1" applyNumberFormat="1" applyFont="1" applyBorder="1" applyAlignment="1">
      <alignment horizontal="center" vertical="top"/>
    </xf>
    <xf numFmtId="0" fontId="11" fillId="0" borderId="0" xfId="0" applyFont="1"/>
    <xf numFmtId="165" fontId="13" fillId="0" borderId="0" xfId="1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wrapText="1"/>
    </xf>
    <xf numFmtId="44" fontId="9" fillId="0" borderId="14" xfId="0" applyNumberFormat="1" applyFont="1" applyBorder="1" applyAlignment="1">
      <alignment horizontal="center"/>
    </xf>
    <xf numFmtId="44" fontId="9" fillId="0" borderId="0" xfId="0" applyNumberFormat="1" applyFont="1" applyAlignment="1">
      <alignment horizontal="center"/>
    </xf>
    <xf numFmtId="44" fontId="9" fillId="0" borderId="22" xfId="0" applyNumberFormat="1" applyFont="1" applyBorder="1" applyAlignment="1">
      <alignment horizontal="center"/>
    </xf>
    <xf numFmtId="44" fontId="9" fillId="0" borderId="23" xfId="0" applyNumberFormat="1" applyFont="1" applyBorder="1" applyAlignment="1">
      <alignment horizontal="center"/>
    </xf>
    <xf numFmtId="44" fontId="9" fillId="0" borderId="19" xfId="0" applyNumberFormat="1" applyFont="1" applyBorder="1" applyAlignment="1">
      <alignment horizontal="center"/>
    </xf>
    <xf numFmtId="44" fontId="9" fillId="0" borderId="15" xfId="0" applyNumberFormat="1" applyFont="1" applyBorder="1" applyAlignment="1">
      <alignment horizontal="center"/>
    </xf>
    <xf numFmtId="44" fontId="9" fillId="0" borderId="16" xfId="0" applyNumberFormat="1" applyFont="1" applyBorder="1" applyAlignment="1">
      <alignment horizontal="center"/>
    </xf>
    <xf numFmtId="44" fontId="9" fillId="0" borderId="17" xfId="0" applyNumberFormat="1" applyFont="1" applyBorder="1" applyAlignment="1">
      <alignment horizontal="center"/>
    </xf>
    <xf numFmtId="44" fontId="9" fillId="0" borderId="18" xfId="0" applyNumberFormat="1" applyFont="1" applyBorder="1" applyAlignment="1">
      <alignment horizontal="center"/>
    </xf>
    <xf numFmtId="44" fontId="14" fillId="0" borderId="16" xfId="0" applyNumberFormat="1" applyFont="1" applyBorder="1" applyAlignment="1">
      <alignment horizontal="center"/>
    </xf>
    <xf numFmtId="44" fontId="14" fillId="0" borderId="17" xfId="0" applyNumberFormat="1" applyFont="1" applyBorder="1" applyAlignment="1">
      <alignment horizontal="center"/>
    </xf>
    <xf numFmtId="0" fontId="13" fillId="0" borderId="22" xfId="0" applyFont="1" applyBorder="1" applyAlignment="1">
      <alignment horizontal="center" vertical="top"/>
    </xf>
    <xf numFmtId="0" fontId="13" fillId="0" borderId="11" xfId="0" applyFont="1" applyBorder="1" applyAlignment="1">
      <alignment horizontal="center" vertical="top"/>
    </xf>
    <xf numFmtId="0" fontId="13" fillId="0" borderId="12" xfId="0" applyFont="1" applyBorder="1" applyAlignment="1">
      <alignment horizontal="center" vertical="top"/>
    </xf>
    <xf numFmtId="0" fontId="13" fillId="0" borderId="13" xfId="0" applyFont="1" applyBorder="1" applyAlignment="1">
      <alignment horizontal="center" vertical="top"/>
    </xf>
    <xf numFmtId="44" fontId="9" fillId="6" borderId="0" xfId="0" applyNumberFormat="1" applyFont="1" applyFill="1" applyAlignment="1">
      <alignment horizontal="center"/>
    </xf>
    <xf numFmtId="165" fontId="13" fillId="0" borderId="14" xfId="1" applyNumberFormat="1" applyFont="1" applyBorder="1" applyAlignment="1">
      <alignment horizontal="center" vertical="top"/>
    </xf>
    <xf numFmtId="165" fontId="13" fillId="0" borderId="15" xfId="1" applyNumberFormat="1" applyFont="1" applyBorder="1" applyAlignment="1">
      <alignment horizontal="center" vertical="top"/>
    </xf>
    <xf numFmtId="44" fontId="14" fillId="0" borderId="17" xfId="0" applyNumberFormat="1" applyFont="1" applyBorder="1"/>
    <xf numFmtId="44" fontId="14" fillId="0" borderId="18" xfId="0" applyNumberFormat="1" applyFont="1" applyBorder="1"/>
    <xf numFmtId="0" fontId="13" fillId="0" borderId="15" xfId="0" applyFont="1" applyBorder="1" applyAlignment="1">
      <alignment horizontal="center" vertical="top"/>
    </xf>
    <xf numFmtId="0" fontId="14" fillId="0" borderId="1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4" fontId="9" fillId="6" borderId="25" xfId="0" applyNumberFormat="1" applyFont="1" applyFill="1" applyBorder="1" applyAlignment="1">
      <alignment horizontal="center"/>
    </xf>
    <xf numFmtId="0" fontId="17" fillId="0" borderId="0" xfId="0" applyFont="1"/>
    <xf numFmtId="165" fontId="13" fillId="10" borderId="20" xfId="1" applyNumberFormat="1" applyFont="1" applyFill="1" applyBorder="1" applyAlignment="1">
      <alignment horizontal="center" vertical="top"/>
    </xf>
    <xf numFmtId="44" fontId="14" fillId="10" borderId="2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9" xfId="0" applyFont="1" applyBorder="1" applyAlignment="1">
      <alignment vertical="top"/>
    </xf>
    <xf numFmtId="165" fontId="2" fillId="0" borderId="9" xfId="1" applyNumberFormat="1" applyFont="1" applyBorder="1" applyAlignment="1">
      <alignment horizontal="center" vertical="top"/>
    </xf>
    <xf numFmtId="165" fontId="0" fillId="0" borderId="0" xfId="1" applyNumberFormat="1" applyFont="1" applyAlignment="1">
      <alignment horizontal="center"/>
    </xf>
    <xf numFmtId="9" fontId="0" fillId="0" borderId="0" xfId="2" applyFont="1" applyAlignment="1">
      <alignment horizontal="center"/>
    </xf>
    <xf numFmtId="165" fontId="0" fillId="0" borderId="0" xfId="0" applyNumberFormat="1" applyAlignment="1">
      <alignment horizontal="center"/>
    </xf>
    <xf numFmtId="6" fontId="0" fillId="0" borderId="0" xfId="1" applyNumberFormat="1" applyFont="1" applyAlignment="1">
      <alignment horizontal="center"/>
    </xf>
    <xf numFmtId="8" fontId="0" fillId="0" borderId="0" xfId="1" applyNumberFormat="1" applyFont="1" applyAlignment="1">
      <alignment horizontal="center"/>
    </xf>
    <xf numFmtId="0" fontId="2" fillId="0" borderId="26" xfId="0" applyFont="1" applyBorder="1"/>
    <xf numFmtId="165" fontId="2" fillId="0" borderId="26" xfId="1" applyNumberFormat="1" applyFont="1" applyBorder="1" applyAlignment="1">
      <alignment horizontal="center"/>
    </xf>
    <xf numFmtId="9" fontId="2" fillId="0" borderId="26" xfId="2" applyFont="1" applyBorder="1" applyAlignment="1">
      <alignment horizontal="center"/>
    </xf>
    <xf numFmtId="165" fontId="2" fillId="0" borderId="26" xfId="0" applyNumberFormat="1" applyFont="1" applyBorder="1" applyAlignment="1">
      <alignment horizontal="center"/>
    </xf>
    <xf numFmtId="6" fontId="2" fillId="0" borderId="26" xfId="1" applyNumberFormat="1" applyFont="1" applyBorder="1" applyAlignment="1">
      <alignment horizontal="center"/>
    </xf>
    <xf numFmtId="8" fontId="2" fillId="0" borderId="26" xfId="1" applyNumberFormat="1" applyFont="1" applyBorder="1" applyAlignment="1">
      <alignment horizontal="center"/>
    </xf>
    <xf numFmtId="0" fontId="2" fillId="0" borderId="0" xfId="0" applyFont="1"/>
    <xf numFmtId="165" fontId="2" fillId="0" borderId="0" xfId="1" applyNumberFormat="1" applyFont="1" applyAlignment="1">
      <alignment horizontal="center"/>
    </xf>
    <xf numFmtId="9" fontId="2" fillId="0" borderId="0" xfId="2" applyFont="1" applyAlignment="1">
      <alignment horizontal="center"/>
    </xf>
    <xf numFmtId="165" fontId="2" fillId="0" borderId="0" xfId="0" applyNumberFormat="1" applyFont="1" applyAlignment="1">
      <alignment horizontal="center"/>
    </xf>
    <xf numFmtId="6" fontId="2" fillId="0" borderId="0" xfId="1" applyNumberFormat="1" applyFont="1" applyAlignment="1">
      <alignment horizontal="center"/>
    </xf>
    <xf numFmtId="8" fontId="2" fillId="0" borderId="0" xfId="1" applyNumberFormat="1" applyFont="1" applyAlignment="1">
      <alignment horizontal="center"/>
    </xf>
    <xf numFmtId="165" fontId="2" fillId="0" borderId="9" xfId="1" applyNumberFormat="1" applyFont="1" applyBorder="1" applyAlignment="1">
      <alignment horizontal="center"/>
    </xf>
    <xf numFmtId="165" fontId="2" fillId="0" borderId="9" xfId="0" applyNumberFormat="1" applyFont="1" applyBorder="1" applyAlignment="1">
      <alignment horizontal="center"/>
    </xf>
    <xf numFmtId="6" fontId="2" fillId="0" borderId="9" xfId="1" applyNumberFormat="1" applyFont="1" applyBorder="1" applyAlignment="1">
      <alignment horizontal="center"/>
    </xf>
    <xf numFmtId="8" fontId="2" fillId="0" borderId="9" xfId="1" applyNumberFormat="1" applyFont="1" applyBorder="1" applyAlignment="1">
      <alignment horizontal="center"/>
    </xf>
    <xf numFmtId="1" fontId="2" fillId="0" borderId="26" xfId="0" applyNumberFormat="1" applyFont="1" applyBorder="1" applyAlignment="1">
      <alignment horizontal="center"/>
    </xf>
    <xf numFmtId="44" fontId="14" fillId="6" borderId="21" xfId="0" applyNumberFormat="1" applyFont="1" applyFill="1" applyBorder="1" applyAlignment="1">
      <alignment horizontal="center"/>
    </xf>
    <xf numFmtId="44" fontId="9" fillId="6" borderId="20" xfId="0" applyNumberFormat="1" applyFont="1" applyFill="1" applyBorder="1" applyAlignment="1">
      <alignment horizontal="center"/>
    </xf>
    <xf numFmtId="44" fontId="9" fillId="6" borderId="21" xfId="0" applyNumberFormat="1" applyFont="1" applyFill="1" applyBorder="1" applyAlignment="1">
      <alignment horizontal="center"/>
    </xf>
    <xf numFmtId="165" fontId="13" fillId="6" borderId="20" xfId="1" applyNumberFormat="1" applyFont="1" applyFill="1" applyBorder="1" applyAlignment="1">
      <alignment horizontal="center" vertical="center"/>
    </xf>
    <xf numFmtId="165" fontId="0" fillId="9" borderId="0" xfId="1" applyNumberFormat="1" applyFont="1" applyFill="1" applyAlignment="1">
      <alignment horizontal="center"/>
    </xf>
    <xf numFmtId="0" fontId="0" fillId="0" borderId="0" xfId="0" applyAlignment="1">
      <alignment horizontal="left"/>
    </xf>
    <xf numFmtId="165" fontId="13" fillId="6" borderId="13" xfId="1" applyNumberFormat="1" applyFont="1" applyFill="1" applyBorder="1" applyAlignment="1">
      <alignment horizontal="center" vertical="top"/>
    </xf>
    <xf numFmtId="44" fontId="29" fillId="0" borderId="22" xfId="1" applyFont="1" applyBorder="1" applyAlignment="1">
      <alignment horizontal="center"/>
    </xf>
    <xf numFmtId="44" fontId="29" fillId="0" borderId="0" xfId="1" applyFont="1" applyBorder="1" applyAlignment="1">
      <alignment horizontal="center"/>
    </xf>
    <xf numFmtId="44" fontId="29" fillId="0" borderId="23" xfId="1" applyFont="1" applyBorder="1" applyAlignment="1">
      <alignment horizontal="center"/>
    </xf>
    <xf numFmtId="44" fontId="29" fillId="0" borderId="19" xfId="1" applyFont="1" applyBorder="1" applyAlignment="1">
      <alignment horizontal="center"/>
    </xf>
    <xf numFmtId="44" fontId="29" fillId="0" borderId="14" xfId="1" applyFont="1" applyBorder="1" applyAlignment="1">
      <alignment horizontal="center"/>
    </xf>
    <xf numFmtId="44" fontId="29" fillId="0" borderId="15" xfId="1" applyFont="1" applyBorder="1" applyAlignment="1">
      <alignment horizontal="center"/>
    </xf>
    <xf numFmtId="44" fontId="14" fillId="0" borderId="11" xfId="0" applyNumberFormat="1" applyFont="1" applyBorder="1" applyAlignment="1">
      <alignment horizontal="center"/>
    </xf>
    <xf numFmtId="44" fontId="14" fillId="0" borderId="12" xfId="0" applyNumberFormat="1" applyFont="1" applyBorder="1" applyAlignment="1">
      <alignment horizontal="center"/>
    </xf>
    <xf numFmtId="44" fontId="29" fillId="0" borderId="16" xfId="1" applyFont="1" applyBorder="1" applyAlignment="1">
      <alignment horizontal="center"/>
    </xf>
    <xf numFmtId="44" fontId="29" fillId="0" borderId="17" xfId="1" applyFont="1" applyBorder="1" applyAlignment="1">
      <alignment horizontal="center"/>
    </xf>
    <xf numFmtId="165" fontId="13" fillId="6" borderId="20" xfId="1" applyNumberFormat="1" applyFont="1" applyFill="1" applyBorder="1" applyAlignment="1">
      <alignment horizontal="center" vertical="top"/>
    </xf>
    <xf numFmtId="44" fontId="29" fillId="0" borderId="18" xfId="1" applyFont="1" applyBorder="1" applyAlignment="1">
      <alignment horizontal="center"/>
    </xf>
    <xf numFmtId="44" fontId="14" fillId="0" borderId="13" xfId="0" applyNumberFormat="1" applyFont="1" applyBorder="1" applyAlignment="1">
      <alignment horizontal="center"/>
    </xf>
    <xf numFmtId="165" fontId="13" fillId="0" borderId="22" xfId="1" applyNumberFormat="1" applyFont="1" applyBorder="1" applyAlignment="1">
      <alignment horizontal="center" vertical="top"/>
    </xf>
    <xf numFmtId="165" fontId="13" fillId="0" borderId="23" xfId="1" applyNumberFormat="1" applyFont="1" applyBorder="1" applyAlignment="1">
      <alignment horizontal="center" vertical="top"/>
    </xf>
    <xf numFmtId="165" fontId="13" fillId="0" borderId="19" xfId="1" applyNumberFormat="1" applyFont="1" applyFill="1" applyBorder="1" applyAlignment="1">
      <alignment horizontal="center" vertical="top"/>
    </xf>
    <xf numFmtId="0" fontId="31" fillId="0" borderId="0" xfId="0" applyFont="1" applyAlignment="1">
      <alignment vertical="center"/>
    </xf>
    <xf numFmtId="0" fontId="31" fillId="6" borderId="0" xfId="0" applyFont="1" applyFill="1" applyAlignment="1">
      <alignment horizontal="right" vertical="center"/>
    </xf>
    <xf numFmtId="14" fontId="31" fillId="6" borderId="0" xfId="0" applyNumberFormat="1" applyFont="1" applyFill="1" applyAlignment="1">
      <alignment horizontal="left" vertical="center"/>
    </xf>
    <xf numFmtId="10" fontId="0" fillId="0" borderId="24" xfId="2" applyNumberFormat="1" applyFont="1" applyBorder="1" applyAlignment="1" applyProtection="1">
      <alignment horizontal="center"/>
    </xf>
    <xf numFmtId="0" fontId="13" fillId="0" borderId="1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65" fontId="13" fillId="6" borderId="20" xfId="1" applyNumberFormat="1" applyFont="1" applyFill="1" applyBorder="1" applyAlignment="1" applyProtection="1">
      <alignment horizontal="center" vertical="center"/>
    </xf>
    <xf numFmtId="165" fontId="13" fillId="0" borderId="0" xfId="1" applyNumberFormat="1" applyFont="1" applyFill="1" applyBorder="1" applyAlignment="1" applyProtection="1">
      <alignment horizontal="center" vertical="top"/>
    </xf>
    <xf numFmtId="0" fontId="2" fillId="0" borderId="0" xfId="0" applyFont="1" applyAlignment="1">
      <alignment vertical="center"/>
    </xf>
    <xf numFmtId="0" fontId="5" fillId="0" borderId="0" xfId="3" applyFont="1" applyProtection="1">
      <protection locked="0"/>
    </xf>
    <xf numFmtId="0" fontId="8" fillId="0" borderId="11" xfId="3" applyFont="1" applyBorder="1" applyAlignment="1" applyProtection="1">
      <alignment horizontal="center" vertical="center" wrapText="1"/>
      <protection locked="0"/>
    </xf>
    <xf numFmtId="0" fontId="8" fillId="0" borderId="12" xfId="3" applyFont="1" applyBorder="1" applyAlignment="1" applyProtection="1">
      <alignment horizontal="center" vertical="center" wrapText="1"/>
      <protection locked="0"/>
    </xf>
    <xf numFmtId="0" fontId="8" fillId="0" borderId="13" xfId="3" applyFont="1" applyBorder="1" applyAlignment="1" applyProtection="1">
      <alignment horizontal="center" vertical="center" wrapText="1"/>
      <protection locked="0"/>
    </xf>
    <xf numFmtId="0" fontId="5" fillId="0" borderId="0" xfId="3" applyFont="1" applyAlignment="1" applyProtection="1">
      <alignment vertical="center"/>
      <protection locked="0"/>
    </xf>
    <xf numFmtId="0" fontId="6" fillId="0" borderId="0" xfId="3" applyFont="1" applyAlignment="1" applyProtection="1">
      <alignment horizontal="center"/>
      <protection locked="0"/>
    </xf>
    <xf numFmtId="164" fontId="6" fillId="0" borderId="0" xfId="3" applyNumberFormat="1" applyFont="1" applyAlignment="1" applyProtection="1">
      <alignment horizontal="center"/>
      <protection locked="0"/>
    </xf>
    <xf numFmtId="44" fontId="9" fillId="0" borderId="0" xfId="4" applyFont="1" applyBorder="1" applyProtection="1">
      <protection locked="0"/>
    </xf>
    <xf numFmtId="44" fontId="9" fillId="0" borderId="0" xfId="4" applyFont="1" applyBorder="1" applyAlignment="1" applyProtection="1">
      <alignment horizontal="center"/>
      <protection locked="0"/>
    </xf>
    <xf numFmtId="37" fontId="9" fillId="0" borderId="0" xfId="4" applyNumberFormat="1" applyFont="1" applyBorder="1" applyAlignment="1" applyProtection="1">
      <alignment horizontal="center"/>
      <protection locked="0"/>
    </xf>
    <xf numFmtId="44" fontId="9" fillId="0" borderId="0" xfId="4" applyFont="1" applyBorder="1" applyAlignment="1" applyProtection="1">
      <alignment horizontal="center" wrapText="1"/>
      <protection locked="0"/>
    </xf>
    <xf numFmtId="14" fontId="9" fillId="0" borderId="0" xfId="4" applyNumberFormat="1" applyFont="1" applyBorder="1" applyAlignment="1" applyProtection="1">
      <alignment horizontal="center"/>
      <protection locked="0"/>
    </xf>
    <xf numFmtId="0" fontId="6" fillId="0" borderId="14" xfId="3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8" fillId="0" borderId="0" xfId="3" applyFont="1" applyAlignment="1" applyProtection="1">
      <alignment horizontal="center"/>
      <protection locked="0"/>
    </xf>
    <xf numFmtId="164" fontId="28" fillId="0" borderId="0" xfId="3" applyNumberFormat="1" applyFont="1" applyAlignment="1" applyProtection="1">
      <alignment horizontal="center"/>
      <protection locked="0"/>
    </xf>
    <xf numFmtId="0" fontId="7" fillId="3" borderId="0" xfId="3" applyFont="1" applyFill="1" applyAlignment="1" applyProtection="1">
      <alignment horizontal="center"/>
      <protection locked="0"/>
    </xf>
    <xf numFmtId="0" fontId="10" fillId="3" borderId="0" xfId="3" applyFont="1" applyFill="1" applyAlignment="1" applyProtection="1">
      <alignment horizontal="center"/>
      <protection locked="0"/>
    </xf>
    <xf numFmtId="164" fontId="10" fillId="3" borderId="0" xfId="3" applyNumberFormat="1" applyFont="1" applyFill="1" applyAlignment="1" applyProtection="1">
      <alignment horizontal="center"/>
      <protection locked="0"/>
    </xf>
    <xf numFmtId="44" fontId="7" fillId="3" borderId="0" xfId="3" applyNumberFormat="1" applyFont="1" applyFill="1" applyProtection="1">
      <protection locked="0"/>
    </xf>
    <xf numFmtId="44" fontId="7" fillId="3" borderId="0" xfId="4" applyFont="1" applyFill="1" applyBorder="1" applyProtection="1">
      <protection locked="0"/>
    </xf>
    <xf numFmtId="1" fontId="7" fillId="3" borderId="0" xfId="4" applyNumberFormat="1" applyFont="1" applyFill="1" applyBorder="1" applyAlignment="1" applyProtection="1">
      <alignment horizontal="center"/>
      <protection locked="0"/>
    </xf>
    <xf numFmtId="44" fontId="7" fillId="3" borderId="0" xfId="4" applyFont="1" applyFill="1" applyBorder="1" applyAlignment="1" applyProtection="1">
      <alignment wrapText="1"/>
      <protection locked="0"/>
    </xf>
    <xf numFmtId="0" fontId="5" fillId="0" borderId="0" xfId="3" applyFont="1" applyAlignment="1" applyProtection="1">
      <alignment horizontal="center"/>
      <protection locked="0"/>
    </xf>
    <xf numFmtId="44" fontId="9" fillId="0" borderId="0" xfId="4" applyFont="1" applyProtection="1">
      <protection locked="0"/>
    </xf>
    <xf numFmtId="0" fontId="5" fillId="0" borderId="0" xfId="3" applyFont="1" applyAlignment="1" applyProtection="1">
      <alignment wrapText="1"/>
      <protection locked="0"/>
    </xf>
    <xf numFmtId="0" fontId="6" fillId="4" borderId="4" xfId="3" applyFont="1" applyFill="1" applyBorder="1" applyAlignment="1" applyProtection="1">
      <alignment horizontal="center"/>
      <protection locked="0"/>
    </xf>
    <xf numFmtId="0" fontId="6" fillId="0" borderId="5" xfId="3" applyFont="1" applyBorder="1" applyAlignment="1" applyProtection="1">
      <alignment horizontal="center"/>
      <protection locked="0"/>
    </xf>
    <xf numFmtId="0" fontId="6" fillId="4" borderId="8" xfId="3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6" fillId="4" borderId="3" xfId="3" applyFont="1" applyFill="1" applyBorder="1" applyAlignment="1">
      <alignment horizontal="center"/>
    </xf>
    <xf numFmtId="0" fontId="6" fillId="4" borderId="6" xfId="3" applyFont="1" applyFill="1" applyBorder="1"/>
    <xf numFmtId="0" fontId="6" fillId="4" borderId="7" xfId="3" applyFont="1" applyFill="1" applyBorder="1"/>
    <xf numFmtId="164" fontId="6" fillId="0" borderId="0" xfId="3" applyNumberFormat="1" applyFont="1" applyAlignment="1">
      <alignment horizontal="center"/>
    </xf>
    <xf numFmtId="164" fontId="28" fillId="0" borderId="0" xfId="3" applyNumberFormat="1" applyFont="1" applyAlignment="1">
      <alignment horizontal="center"/>
    </xf>
    <xf numFmtId="1" fontId="6" fillId="0" borderId="0" xfId="3" applyNumberFormat="1" applyFont="1" applyAlignment="1">
      <alignment horizontal="center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wrapText="1"/>
      <protection locked="0"/>
    </xf>
    <xf numFmtId="44" fontId="9" fillId="0" borderId="0" xfId="1" applyFont="1" applyFill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44" fontId="14" fillId="0" borderId="0" xfId="0" applyNumberFormat="1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/>
      <protection locked="0"/>
    </xf>
    <xf numFmtId="37" fontId="25" fillId="0" borderId="15" xfId="4" applyNumberFormat="1" applyFont="1" applyBorder="1" applyAlignment="1" applyProtection="1">
      <alignment horizontal="center" wrapText="1"/>
      <protection locked="0"/>
    </xf>
    <xf numFmtId="0" fontId="7" fillId="11" borderId="16" xfId="3" applyFont="1" applyFill="1" applyBorder="1" applyAlignment="1" applyProtection="1">
      <alignment horizontal="center"/>
      <protection locked="0"/>
    </xf>
    <xf numFmtId="0" fontId="7" fillId="11" borderId="17" xfId="3" applyFont="1" applyFill="1" applyBorder="1" applyAlignment="1" applyProtection="1">
      <alignment horizontal="center"/>
      <protection locked="0"/>
    </xf>
    <xf numFmtId="0" fontId="21" fillId="11" borderId="17" xfId="3" applyFont="1" applyFill="1" applyBorder="1" applyAlignment="1" applyProtection="1">
      <alignment horizontal="center"/>
      <protection locked="0"/>
    </xf>
    <xf numFmtId="0" fontId="10" fillId="11" borderId="17" xfId="3" applyFont="1" applyFill="1" applyBorder="1" applyAlignment="1" applyProtection="1">
      <alignment horizontal="center"/>
      <protection locked="0"/>
    </xf>
    <xf numFmtId="164" fontId="10" fillId="11" borderId="17" xfId="3" applyNumberFormat="1" applyFont="1" applyFill="1" applyBorder="1" applyAlignment="1" applyProtection="1">
      <alignment horizontal="center"/>
      <protection locked="0"/>
    </xf>
    <xf numFmtId="0" fontId="10" fillId="11" borderId="17" xfId="3" applyFont="1" applyFill="1" applyBorder="1" applyProtection="1">
      <protection locked="0"/>
    </xf>
    <xf numFmtId="44" fontId="7" fillId="11" borderId="17" xfId="4" applyFont="1" applyFill="1" applyBorder="1" applyProtection="1">
      <protection locked="0"/>
    </xf>
    <xf numFmtId="44" fontId="7" fillId="11" borderId="18" xfId="4" applyFont="1" applyFill="1" applyBorder="1" applyProtection="1">
      <protection locked="0"/>
    </xf>
    <xf numFmtId="0" fontId="12" fillId="11" borderId="10" xfId="0" applyFont="1" applyFill="1" applyBorder="1" applyAlignment="1">
      <alignment horizontal="center" vertical="center"/>
    </xf>
    <xf numFmtId="0" fontId="12" fillId="11" borderId="10" xfId="0" applyFont="1" applyFill="1" applyBorder="1" applyAlignment="1">
      <alignment horizontal="center" wrapText="1"/>
    </xf>
    <xf numFmtId="1" fontId="9" fillId="0" borderId="25" xfId="1" applyNumberFormat="1" applyFont="1" applyBorder="1" applyAlignment="1" applyProtection="1">
      <alignment horizontal="center"/>
    </xf>
    <xf numFmtId="1" fontId="14" fillId="0" borderId="10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3" applyFont="1"/>
    <xf numFmtId="0" fontId="8" fillId="11" borderId="11" xfId="3" applyFont="1" applyFill="1" applyBorder="1" applyAlignment="1">
      <alignment horizontal="center" wrapText="1"/>
    </xf>
    <xf numFmtId="0" fontId="8" fillId="11" borderId="12" xfId="3" applyFont="1" applyFill="1" applyBorder="1" applyAlignment="1">
      <alignment horizontal="center" wrapText="1"/>
    </xf>
    <xf numFmtId="0" fontId="8" fillId="11" borderId="13" xfId="3" applyFont="1" applyFill="1" applyBorder="1" applyAlignment="1">
      <alignment horizontal="center" wrapText="1"/>
    </xf>
    <xf numFmtId="166" fontId="9" fillId="0" borderId="15" xfId="4" applyNumberFormat="1" applyFont="1" applyBorder="1" applyAlignment="1" applyProtection="1">
      <alignment horizontal="center" wrapText="1"/>
      <protection locked="0"/>
    </xf>
    <xf numFmtId="0" fontId="22" fillId="0" borderId="0" xfId="0" applyFont="1" applyAlignment="1" applyProtection="1">
      <alignment vertical="center"/>
      <protection locked="0"/>
    </xf>
    <xf numFmtId="0" fontId="16" fillId="0" borderId="29" xfId="3" applyFont="1" applyBorder="1" applyAlignment="1" applyProtection="1">
      <alignment horizontal="center" vertical="center"/>
      <protection locked="0"/>
    </xf>
    <xf numFmtId="44" fontId="0" fillId="0" borderId="29" xfId="1" applyFont="1" applyFill="1" applyBorder="1" applyAlignment="1" applyProtection="1">
      <alignment vertical="center"/>
      <protection locked="0"/>
    </xf>
    <xf numFmtId="14" fontId="0" fillId="0" borderId="29" xfId="0" applyNumberFormat="1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 wrapText="1"/>
      <protection locked="0"/>
    </xf>
    <xf numFmtId="0" fontId="27" fillId="0" borderId="29" xfId="0" applyFont="1" applyBorder="1" applyAlignment="1" applyProtection="1">
      <alignment horizontal="center" vertical="center" wrapText="1"/>
      <protection locked="0"/>
    </xf>
    <xf numFmtId="0" fontId="16" fillId="0" borderId="28" xfId="3" applyFont="1" applyBorder="1" applyAlignment="1" applyProtection="1">
      <alignment horizontal="center" vertical="center"/>
      <protection locked="0"/>
    </xf>
    <xf numFmtId="44" fontId="0" fillId="0" borderId="28" xfId="1" applyFont="1" applyFill="1" applyBorder="1" applyAlignment="1" applyProtection="1">
      <alignment vertical="center"/>
      <protection locked="0"/>
    </xf>
    <xf numFmtId="14" fontId="0" fillId="0" borderId="28" xfId="0" applyNumberForma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  <xf numFmtId="0" fontId="27" fillId="0" borderId="28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/>
    </xf>
    <xf numFmtId="44" fontId="9" fillId="0" borderId="22" xfId="1" applyFont="1" applyBorder="1" applyAlignment="1" applyProtection="1">
      <alignment horizontal="center"/>
    </xf>
    <xf numFmtId="44" fontId="9" fillId="0" borderId="23" xfId="1" applyFont="1" applyBorder="1" applyAlignment="1" applyProtection="1">
      <alignment horizontal="center"/>
    </xf>
    <xf numFmtId="44" fontId="9" fillId="0" borderId="19" xfId="1" applyFont="1" applyBorder="1" applyAlignment="1" applyProtection="1">
      <alignment horizontal="center"/>
    </xf>
    <xf numFmtId="44" fontId="9" fillId="0" borderId="14" xfId="1" applyFont="1" applyBorder="1" applyAlignment="1" applyProtection="1">
      <alignment horizontal="center"/>
    </xf>
    <xf numFmtId="44" fontId="9" fillId="0" borderId="0" xfId="1" applyFont="1" applyBorder="1" applyAlignment="1" applyProtection="1">
      <alignment horizontal="center"/>
    </xf>
    <xf numFmtId="44" fontId="9" fillId="0" borderId="15" xfId="1" applyFont="1" applyBorder="1" applyAlignment="1" applyProtection="1">
      <alignment horizontal="center"/>
    </xf>
    <xf numFmtId="44" fontId="9" fillId="0" borderId="16" xfId="1" applyFont="1" applyBorder="1" applyAlignment="1" applyProtection="1">
      <alignment horizontal="center"/>
    </xf>
    <xf numFmtId="44" fontId="9" fillId="0" borderId="17" xfId="1" applyFont="1" applyBorder="1" applyAlignment="1" applyProtection="1">
      <alignment horizontal="center"/>
    </xf>
    <xf numFmtId="44" fontId="9" fillId="0" borderId="18" xfId="1" applyFont="1" applyBorder="1" applyAlignment="1" applyProtection="1">
      <alignment horizontal="center"/>
    </xf>
    <xf numFmtId="44" fontId="14" fillId="0" borderId="18" xfId="0" applyNumberFormat="1" applyFont="1" applyBorder="1" applyAlignment="1">
      <alignment horizontal="center"/>
    </xf>
    <xf numFmtId="44" fontId="9" fillId="10" borderId="19" xfId="0" applyNumberFormat="1" applyFont="1" applyFill="1" applyBorder="1" applyAlignment="1">
      <alignment horizontal="center"/>
    </xf>
    <xf numFmtId="44" fontId="9" fillId="10" borderId="15" xfId="0" applyNumberFormat="1" applyFont="1" applyFill="1" applyBorder="1" applyAlignment="1">
      <alignment horizontal="center"/>
    </xf>
    <xf numFmtId="44" fontId="9" fillId="10" borderId="18" xfId="0" applyNumberFormat="1" applyFont="1" applyFill="1" applyBorder="1" applyAlignment="1">
      <alignment horizontal="center"/>
    </xf>
    <xf numFmtId="0" fontId="32" fillId="16" borderId="0" xfId="0" applyFont="1" applyFill="1" applyAlignment="1" applyProtection="1">
      <alignment horizontal="center"/>
      <protection locked="0"/>
    </xf>
    <xf numFmtId="0" fontId="32" fillId="0" borderId="0" xfId="0" applyFont="1" applyAlignment="1" applyProtection="1">
      <alignment horizontal="center"/>
      <protection locked="0"/>
    </xf>
    <xf numFmtId="44" fontId="32" fillId="16" borderId="0" xfId="1" applyFont="1" applyFill="1" applyBorder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6" fillId="0" borderId="31" xfId="3" applyFont="1" applyBorder="1" applyAlignment="1" applyProtection="1">
      <alignment horizontal="center"/>
      <protection locked="0"/>
    </xf>
    <xf numFmtId="44" fontId="9" fillId="0" borderId="31" xfId="1" applyFont="1" applyFill="1" applyBorder="1" applyProtection="1">
      <protection locked="0"/>
    </xf>
    <xf numFmtId="44" fontId="9" fillId="0" borderId="31" xfId="4" applyFont="1" applyFill="1" applyBorder="1" applyAlignment="1" applyProtection="1">
      <alignment horizontal="center"/>
      <protection locked="0"/>
    </xf>
    <xf numFmtId="0" fontId="24" fillId="0" borderId="33" xfId="0" applyFont="1" applyBorder="1" applyAlignment="1" applyProtection="1">
      <alignment horizontal="center"/>
      <protection locked="0"/>
    </xf>
    <xf numFmtId="0" fontId="14" fillId="0" borderId="34" xfId="0" applyFont="1" applyBorder="1" applyProtection="1">
      <protection locked="0"/>
    </xf>
    <xf numFmtId="0" fontId="24" fillId="0" borderId="34" xfId="0" applyFont="1" applyBorder="1" applyAlignment="1" applyProtection="1">
      <alignment horizontal="center"/>
      <protection locked="0"/>
    </xf>
    <xf numFmtId="44" fontId="14" fillId="0" borderId="34" xfId="0" applyNumberFormat="1" applyFont="1" applyBorder="1" applyProtection="1">
      <protection locked="0"/>
    </xf>
    <xf numFmtId="44" fontId="14" fillId="0" borderId="35" xfId="0" applyNumberFormat="1" applyFont="1" applyBorder="1" applyAlignment="1" applyProtection="1">
      <alignment horizontal="center"/>
      <protection locked="0"/>
    </xf>
    <xf numFmtId="0" fontId="13" fillId="0" borderId="20" xfId="0" applyFont="1" applyBorder="1" applyAlignment="1">
      <alignment horizontal="center" vertical="top"/>
    </xf>
    <xf numFmtId="165" fontId="13" fillId="6" borderId="10" xfId="1" applyNumberFormat="1" applyFont="1" applyFill="1" applyBorder="1" applyAlignment="1" applyProtection="1">
      <alignment horizontal="center" vertical="top"/>
    </xf>
    <xf numFmtId="0" fontId="13" fillId="0" borderId="10" xfId="0" applyFont="1" applyBorder="1" applyAlignment="1">
      <alignment horizontal="center" vertical="top"/>
    </xf>
    <xf numFmtId="0" fontId="13" fillId="9" borderId="10" xfId="0" applyFont="1" applyFill="1" applyBorder="1" applyAlignment="1">
      <alignment horizontal="center" vertical="top"/>
    </xf>
    <xf numFmtId="44" fontId="9" fillId="0" borderId="20" xfId="1" applyFont="1" applyBorder="1" applyAlignment="1" applyProtection="1">
      <alignment horizontal="center"/>
    </xf>
    <xf numFmtId="44" fontId="0" fillId="0" borderId="19" xfId="1" applyFont="1" applyBorder="1" applyAlignment="1" applyProtection="1">
      <alignment horizontal="center"/>
    </xf>
    <xf numFmtId="44" fontId="9" fillId="9" borderId="15" xfId="1" applyFont="1" applyFill="1" applyBorder="1" applyAlignment="1" applyProtection="1">
      <alignment horizontal="center"/>
    </xf>
    <xf numFmtId="44" fontId="9" fillId="0" borderId="25" xfId="1" applyFont="1" applyBorder="1" applyAlignment="1" applyProtection="1">
      <alignment horizontal="center"/>
    </xf>
    <xf numFmtId="44" fontId="0" fillId="0" borderId="15" xfId="1" applyFont="1" applyBorder="1" applyAlignment="1" applyProtection="1">
      <alignment horizontal="center"/>
    </xf>
    <xf numFmtId="44" fontId="9" fillId="0" borderId="21" xfId="1" applyFont="1" applyBorder="1" applyAlignment="1" applyProtection="1">
      <alignment horizontal="center"/>
    </xf>
    <xf numFmtId="44" fontId="0" fillId="0" borderId="18" xfId="1" applyFont="1" applyBorder="1" applyAlignment="1" applyProtection="1">
      <alignment horizontal="center"/>
    </xf>
    <xf numFmtId="44" fontId="14" fillId="0" borderId="21" xfId="0" applyNumberFormat="1" applyFont="1" applyBorder="1" applyAlignment="1">
      <alignment horizontal="center"/>
    </xf>
    <xf numFmtId="44" fontId="14" fillId="9" borderId="13" xfId="0" applyNumberFormat="1" applyFont="1" applyFill="1" applyBorder="1" applyAlignment="1">
      <alignment horizontal="center"/>
    </xf>
    <xf numFmtId="165" fontId="0" fillId="9" borderId="0" xfId="1" applyNumberFormat="1" applyFont="1" applyFill="1" applyAlignment="1" applyProtection="1">
      <alignment horizontal="center"/>
      <protection locked="0"/>
    </xf>
    <xf numFmtId="10" fontId="0" fillId="0" borderId="0" xfId="2" applyNumberFormat="1" applyFont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0" fillId="9" borderId="0" xfId="1" applyNumberFormat="1" applyFont="1" applyFill="1" applyAlignment="1" applyProtection="1">
      <alignment horizontal="center"/>
      <protection locked="0"/>
    </xf>
    <xf numFmtId="165" fontId="31" fillId="0" borderId="27" xfId="1" applyNumberFormat="1" applyFont="1" applyBorder="1" applyAlignment="1">
      <alignment horizontal="center"/>
    </xf>
    <xf numFmtId="8" fontId="31" fillId="0" borderId="27" xfId="1" applyNumberFormat="1" applyFont="1" applyBorder="1" applyAlignment="1">
      <alignment horizontal="center"/>
    </xf>
    <xf numFmtId="0" fontId="33" fillId="0" borderId="0" xfId="0" applyFont="1"/>
    <xf numFmtId="0" fontId="31" fillId="0" borderId="27" xfId="0" applyFont="1" applyBorder="1"/>
    <xf numFmtId="44" fontId="14" fillId="6" borderId="23" xfId="0" applyNumberFormat="1" applyFont="1" applyFill="1" applyBorder="1" applyAlignment="1">
      <alignment horizontal="center"/>
    </xf>
    <xf numFmtId="44" fontId="14" fillId="6" borderId="0" xfId="0" applyNumberFormat="1" applyFont="1" applyFill="1" applyAlignment="1">
      <alignment horizontal="center"/>
    </xf>
    <xf numFmtId="44" fontId="14" fillId="6" borderId="17" xfId="0" applyNumberFormat="1" applyFont="1" applyFill="1" applyBorder="1" applyAlignment="1">
      <alignment horizontal="center"/>
    </xf>
    <xf numFmtId="165" fontId="13" fillId="0" borderId="14" xfId="1" applyNumberFormat="1" applyFont="1" applyBorder="1" applyAlignment="1">
      <alignment horizontal="center" vertical="center"/>
    </xf>
    <xf numFmtId="165" fontId="13" fillId="0" borderId="0" xfId="1" applyNumberFormat="1" applyFont="1" applyBorder="1" applyAlignment="1">
      <alignment horizontal="center" vertical="center"/>
    </xf>
    <xf numFmtId="165" fontId="13" fillId="0" borderId="15" xfId="1" applyNumberFormat="1" applyFont="1" applyBorder="1" applyAlignment="1">
      <alignment horizontal="center" vertical="center"/>
    </xf>
    <xf numFmtId="165" fontId="13" fillId="0" borderId="22" xfId="1" applyNumberFormat="1" applyFont="1" applyBorder="1" applyAlignment="1">
      <alignment horizontal="center" vertical="center"/>
    </xf>
    <xf numFmtId="165" fontId="13" fillId="0" borderId="23" xfId="1" applyNumberFormat="1" applyFont="1" applyBorder="1" applyAlignment="1">
      <alignment horizontal="center" vertical="center"/>
    </xf>
    <xf numFmtId="165" fontId="13" fillId="0" borderId="19" xfId="1" applyNumberFormat="1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2" fontId="9" fillId="0" borderId="22" xfId="0" applyNumberFormat="1" applyFont="1" applyBorder="1" applyAlignment="1">
      <alignment horizontal="center"/>
    </xf>
    <xf numFmtId="2" fontId="9" fillId="0" borderId="23" xfId="0" applyNumberFormat="1" applyFont="1" applyBorder="1" applyAlignment="1">
      <alignment horizontal="center"/>
    </xf>
    <xf numFmtId="2" fontId="9" fillId="0" borderId="19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2" fontId="9" fillId="0" borderId="0" xfId="0" applyNumberFormat="1" applyFont="1" applyAlignment="1">
      <alignment horizontal="center"/>
    </xf>
    <xf numFmtId="2" fontId="9" fillId="0" borderId="15" xfId="0" applyNumberFormat="1" applyFont="1" applyBorder="1" applyAlignment="1">
      <alignment horizontal="center"/>
    </xf>
    <xf numFmtId="2" fontId="14" fillId="0" borderId="11" xfId="0" applyNumberFormat="1" applyFont="1" applyBorder="1" applyAlignment="1">
      <alignment horizontal="center" vertical="center"/>
    </xf>
    <xf numFmtId="2" fontId="14" fillId="0" borderId="12" xfId="0" applyNumberFormat="1" applyFont="1" applyBorder="1" applyAlignment="1">
      <alignment horizontal="center" vertical="center"/>
    </xf>
    <xf numFmtId="2" fontId="14" fillId="0" borderId="13" xfId="0" applyNumberFormat="1" applyFont="1" applyBorder="1" applyAlignment="1">
      <alignment horizontal="center" vertical="center"/>
    </xf>
    <xf numFmtId="2" fontId="9" fillId="0" borderId="16" xfId="0" applyNumberFormat="1" applyFont="1" applyBorder="1" applyAlignment="1">
      <alignment horizontal="center"/>
    </xf>
    <xf numFmtId="2" fontId="9" fillId="0" borderId="17" xfId="0" applyNumberFormat="1" applyFont="1" applyBorder="1" applyAlignment="1">
      <alignment horizontal="center"/>
    </xf>
    <xf numFmtId="2" fontId="9" fillId="0" borderId="18" xfId="0" applyNumberFormat="1" applyFont="1" applyBorder="1" applyAlignment="1">
      <alignment horizontal="center"/>
    </xf>
    <xf numFmtId="2" fontId="14" fillId="0" borderId="16" xfId="0" applyNumberFormat="1" applyFont="1" applyBorder="1" applyAlignment="1">
      <alignment horizontal="center" vertical="center"/>
    </xf>
    <xf numFmtId="2" fontId="14" fillId="0" borderId="17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2" fontId="13" fillId="0" borderId="16" xfId="0" applyNumberFormat="1" applyFont="1" applyBorder="1" applyAlignment="1">
      <alignment horizontal="center" vertical="center"/>
    </xf>
    <xf numFmtId="2" fontId="13" fillId="0" borderId="17" xfId="0" applyNumberFormat="1" applyFont="1" applyBorder="1" applyAlignment="1">
      <alignment horizontal="center" vertical="center"/>
    </xf>
    <xf numFmtId="2" fontId="13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left" vertical="center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44" fontId="30" fillId="0" borderId="0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44" fontId="9" fillId="0" borderId="0" xfId="4" applyFont="1" applyFill="1" applyBorder="1" applyAlignment="1" applyProtection="1">
      <alignment horizontal="center"/>
      <protection locked="0"/>
    </xf>
    <xf numFmtId="0" fontId="2" fillId="18" borderId="24" xfId="0" applyFont="1" applyFill="1" applyBorder="1" applyAlignment="1">
      <alignment horizontal="center" vertical="center" wrapText="1"/>
    </xf>
    <xf numFmtId="0" fontId="2" fillId="18" borderId="24" xfId="0" applyFont="1" applyFill="1" applyBorder="1" applyAlignment="1">
      <alignment horizontal="center" vertical="center"/>
    </xf>
    <xf numFmtId="0" fontId="0" fillId="17" borderId="24" xfId="0" applyFill="1" applyBorder="1" applyAlignment="1" applyProtection="1">
      <alignment horizontal="center" vertical="center"/>
      <protection locked="0"/>
    </xf>
    <xf numFmtId="0" fontId="0" fillId="18" borderId="24" xfId="0" applyFill="1" applyBorder="1" applyAlignment="1">
      <alignment horizontal="center" vertical="center"/>
    </xf>
    <xf numFmtId="0" fontId="0" fillId="18" borderId="37" xfId="0" applyFill="1" applyBorder="1" applyAlignment="1">
      <alignment horizontal="center" vertical="center"/>
    </xf>
    <xf numFmtId="0" fontId="0" fillId="17" borderId="36" xfId="0" applyFill="1" applyBorder="1" applyAlignment="1" applyProtection="1">
      <alignment horizontal="center" vertical="center"/>
      <protection locked="0"/>
    </xf>
    <xf numFmtId="0" fontId="0" fillId="19" borderId="37" xfId="0" applyFill="1" applyBorder="1" applyAlignment="1">
      <alignment vertical="center"/>
    </xf>
    <xf numFmtId="0" fontId="0" fillId="19" borderId="38" xfId="0" applyFill="1" applyBorder="1" applyAlignment="1">
      <alignment vertical="center"/>
    </xf>
    <xf numFmtId="0" fontId="0" fillId="17" borderId="26" xfId="0" applyFill="1" applyBorder="1" applyAlignment="1" applyProtection="1">
      <alignment horizontal="center" vertical="center"/>
      <protection locked="0"/>
    </xf>
    <xf numFmtId="0" fontId="0" fillId="17" borderId="26" xfId="0" applyFill="1" applyBorder="1" applyAlignment="1" applyProtection="1">
      <alignment vertical="center"/>
      <protection locked="0"/>
    </xf>
    <xf numFmtId="0" fontId="0" fillId="17" borderId="24" xfId="0" applyFill="1" applyBorder="1" applyAlignment="1" applyProtection="1">
      <alignment vertical="center"/>
      <protection locked="0"/>
    </xf>
    <xf numFmtId="0" fontId="0" fillId="17" borderId="36" xfId="0" applyFill="1" applyBorder="1" applyAlignment="1" applyProtection="1">
      <alignment vertical="center"/>
      <protection locked="0"/>
    </xf>
    <xf numFmtId="0" fontId="0" fillId="19" borderId="39" xfId="0" applyFill="1" applyBorder="1" applyAlignment="1">
      <alignment vertical="center"/>
    </xf>
    <xf numFmtId="0" fontId="34" fillId="5" borderId="0" xfId="0" applyFont="1" applyFill="1" applyAlignment="1">
      <alignment horizontal="center" vertical="center" wrapText="1"/>
    </xf>
    <xf numFmtId="0" fontId="2" fillId="8" borderId="24" xfId="0" applyFont="1" applyFill="1" applyBorder="1" applyAlignment="1">
      <alignment horizontal="left" vertical="center"/>
    </xf>
    <xf numFmtId="0" fontId="0" fillId="17" borderId="24" xfId="0" applyFill="1" applyBorder="1" applyAlignment="1">
      <alignment horizontal="left" vertical="center" wrapText="1"/>
    </xf>
    <xf numFmtId="44" fontId="37" fillId="17" borderId="24" xfId="1" applyFont="1" applyFill="1" applyBorder="1" applyAlignment="1" applyProtection="1">
      <alignment horizontal="center" vertical="center"/>
      <protection locked="0"/>
    </xf>
    <xf numFmtId="0" fontId="34" fillId="5" borderId="9" xfId="0" applyFont="1" applyFill="1" applyBorder="1" applyAlignment="1">
      <alignment horizontal="center" vertical="center" wrapText="1"/>
    </xf>
    <xf numFmtId="0" fontId="0" fillId="17" borderId="24" xfId="0" quotePrefix="1" applyFill="1" applyBorder="1" applyAlignment="1">
      <alignment horizontal="left" vertical="center"/>
    </xf>
    <xf numFmtId="0" fontId="0" fillId="17" borderId="24" xfId="0" applyFill="1" applyBorder="1" applyAlignment="1">
      <alignment horizontal="left" vertical="center"/>
    </xf>
    <xf numFmtId="0" fontId="36" fillId="8" borderId="24" xfId="0" applyFont="1" applyFill="1" applyBorder="1" applyAlignment="1">
      <alignment horizontal="center" vertical="center"/>
    </xf>
    <xf numFmtId="0" fontId="0" fillId="17" borderId="24" xfId="0" quotePrefix="1" applyFill="1" applyBorder="1" applyAlignment="1">
      <alignment horizontal="left" vertical="center" wrapText="1"/>
    </xf>
    <xf numFmtId="0" fontId="34" fillId="5" borderId="0" xfId="0" applyFont="1" applyFill="1" applyAlignment="1">
      <alignment horizontal="center"/>
    </xf>
    <xf numFmtId="0" fontId="12" fillId="3" borderId="20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wrapText="1"/>
    </xf>
    <xf numFmtId="0" fontId="12" fillId="3" borderId="12" xfId="0" applyFont="1" applyFill="1" applyBorder="1" applyAlignment="1">
      <alignment horizontal="center" wrapText="1"/>
    </xf>
    <xf numFmtId="0" fontId="12" fillId="3" borderId="13" xfId="0" applyFont="1" applyFill="1" applyBorder="1" applyAlignment="1">
      <alignment horizontal="center" wrapText="1"/>
    </xf>
    <xf numFmtId="0" fontId="11" fillId="3" borderId="11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/>
    </xf>
    <xf numFmtId="0" fontId="11" fillId="7" borderId="12" xfId="0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/>
    </xf>
    <xf numFmtId="0" fontId="12" fillId="7" borderId="20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horizontal="center" wrapText="1"/>
    </xf>
    <xf numFmtId="0" fontId="12" fillId="7" borderId="12" xfId="0" applyFont="1" applyFill="1" applyBorder="1" applyAlignment="1">
      <alignment horizontal="center" wrapText="1"/>
    </xf>
    <xf numFmtId="0" fontId="12" fillId="7" borderId="13" xfId="0" applyFont="1" applyFill="1" applyBorder="1" applyAlignment="1">
      <alignment horizontal="center" wrapText="1"/>
    </xf>
    <xf numFmtId="0" fontId="12" fillId="15" borderId="20" xfId="0" applyFont="1" applyFill="1" applyBorder="1" applyAlignment="1">
      <alignment horizontal="center" vertical="center"/>
    </xf>
    <xf numFmtId="0" fontId="12" fillId="15" borderId="21" xfId="0" applyFont="1" applyFill="1" applyBorder="1" applyAlignment="1">
      <alignment horizontal="center" vertical="center"/>
    </xf>
    <xf numFmtId="0" fontId="12" fillId="15" borderId="11" xfId="0" applyFont="1" applyFill="1" applyBorder="1" applyAlignment="1">
      <alignment horizontal="center" wrapText="1"/>
    </xf>
    <xf numFmtId="0" fontId="12" fillId="15" borderId="12" xfId="0" applyFont="1" applyFill="1" applyBorder="1" applyAlignment="1">
      <alignment horizontal="center" wrapText="1"/>
    </xf>
    <xf numFmtId="0" fontId="12" fillId="15" borderId="13" xfId="0" applyFont="1" applyFill="1" applyBorder="1" applyAlignment="1">
      <alignment horizontal="center" wrapText="1"/>
    </xf>
    <xf numFmtId="0" fontId="12" fillId="15" borderId="22" xfId="0" applyFont="1" applyFill="1" applyBorder="1" applyAlignment="1">
      <alignment horizontal="center" wrapText="1"/>
    </xf>
    <xf numFmtId="0" fontId="12" fillId="15" borderId="23" xfId="0" applyFont="1" applyFill="1" applyBorder="1" applyAlignment="1">
      <alignment horizontal="center" wrapText="1"/>
    </xf>
    <xf numFmtId="0" fontId="12" fillId="15" borderId="19" xfId="0" applyFont="1" applyFill="1" applyBorder="1" applyAlignment="1">
      <alignment horizontal="center" wrapText="1"/>
    </xf>
    <xf numFmtId="0" fontId="11" fillId="3" borderId="11" xfId="0" applyFont="1" applyFill="1" applyBorder="1" applyAlignment="1">
      <alignment horizontal="center"/>
    </xf>
    <xf numFmtId="0" fontId="11" fillId="3" borderId="12" xfId="0" applyFont="1" applyFill="1" applyBorder="1" applyAlignment="1">
      <alignment horizontal="center"/>
    </xf>
    <xf numFmtId="0" fontId="11" fillId="3" borderId="13" xfId="0" applyFont="1" applyFill="1" applyBorder="1" applyAlignment="1">
      <alignment horizontal="center"/>
    </xf>
    <xf numFmtId="44" fontId="15" fillId="5" borderId="22" xfId="1" applyFont="1" applyFill="1" applyBorder="1" applyAlignment="1" applyProtection="1">
      <alignment horizontal="center" vertical="center"/>
    </xf>
    <xf numFmtId="44" fontId="15" fillId="5" borderId="23" xfId="1" applyFont="1" applyFill="1" applyBorder="1" applyAlignment="1" applyProtection="1">
      <alignment horizontal="center" vertical="center"/>
    </xf>
    <xf numFmtId="44" fontId="15" fillId="5" borderId="19" xfId="1" applyFont="1" applyFill="1" applyBorder="1" applyAlignment="1" applyProtection="1">
      <alignment horizontal="center" vertical="center"/>
    </xf>
    <xf numFmtId="44" fontId="15" fillId="5" borderId="16" xfId="1" applyFont="1" applyFill="1" applyBorder="1" applyAlignment="1" applyProtection="1">
      <alignment horizontal="center" vertical="center"/>
    </xf>
    <xf numFmtId="44" fontId="15" fillId="5" borderId="17" xfId="1" applyFont="1" applyFill="1" applyBorder="1" applyAlignment="1" applyProtection="1">
      <alignment horizontal="center" vertical="center"/>
    </xf>
    <xf numFmtId="44" fontId="15" fillId="5" borderId="18" xfId="1" applyFont="1" applyFill="1" applyBorder="1" applyAlignment="1" applyProtection="1">
      <alignment horizontal="center" vertical="center"/>
    </xf>
    <xf numFmtId="0" fontId="0" fillId="0" borderId="24" xfId="0" applyBorder="1" applyAlignment="1">
      <alignment horizontal="center"/>
    </xf>
    <xf numFmtId="0" fontId="11" fillId="15" borderId="11" xfId="0" applyFont="1" applyFill="1" applyBorder="1" applyAlignment="1">
      <alignment horizontal="center"/>
    </xf>
    <xf numFmtId="0" fontId="11" fillId="15" borderId="12" xfId="0" applyFont="1" applyFill="1" applyBorder="1" applyAlignment="1">
      <alignment horizontal="center"/>
    </xf>
    <xf numFmtId="0" fontId="11" fillId="15" borderId="13" xfId="0" applyFont="1" applyFill="1" applyBorder="1" applyAlignment="1">
      <alignment horizontal="center"/>
    </xf>
    <xf numFmtId="0" fontId="6" fillId="0" borderId="0" xfId="3" applyFont="1" applyAlignment="1">
      <alignment horizontal="center"/>
    </xf>
    <xf numFmtId="0" fontId="6" fillId="0" borderId="1" xfId="3" applyFont="1" applyBorder="1" applyAlignment="1">
      <alignment horizontal="center"/>
    </xf>
    <xf numFmtId="0" fontId="6" fillId="4" borderId="2" xfId="3" applyFont="1" applyFill="1" applyBorder="1" applyAlignment="1">
      <alignment horizontal="center"/>
    </xf>
    <xf numFmtId="0" fontId="6" fillId="4" borderId="3" xfId="3" applyFont="1" applyFill="1" applyBorder="1" applyAlignment="1">
      <alignment horizontal="center"/>
    </xf>
    <xf numFmtId="0" fontId="6" fillId="4" borderId="6" xfId="3" applyFont="1" applyFill="1" applyBorder="1" applyAlignment="1">
      <alignment horizontal="center"/>
    </xf>
    <xf numFmtId="0" fontId="6" fillId="4" borderId="7" xfId="3" applyFont="1" applyFill="1" applyBorder="1" applyAlignment="1">
      <alignment horizontal="center"/>
    </xf>
    <xf numFmtId="0" fontId="3" fillId="2" borderId="16" xfId="0" applyFont="1" applyFill="1" applyBorder="1" applyAlignment="1" applyProtection="1">
      <alignment horizontal="center" vertical="center"/>
      <protection locked="0"/>
    </xf>
    <xf numFmtId="0" fontId="3" fillId="2" borderId="17" xfId="0" applyFont="1" applyFill="1" applyBorder="1" applyAlignment="1" applyProtection="1">
      <alignment horizontal="center" vertical="center"/>
      <protection locked="0"/>
    </xf>
    <xf numFmtId="0" fontId="20" fillId="11" borderId="11" xfId="0" applyFont="1" applyFill="1" applyBorder="1" applyAlignment="1">
      <alignment horizontal="center"/>
    </xf>
    <xf numFmtId="0" fontId="20" fillId="11" borderId="13" xfId="0" applyFont="1" applyFill="1" applyBorder="1" applyAlignment="1">
      <alignment horizontal="center"/>
    </xf>
    <xf numFmtId="0" fontId="3" fillId="12" borderId="11" xfId="0" applyFont="1" applyFill="1" applyBorder="1" applyAlignment="1">
      <alignment horizontal="center" vertical="center"/>
    </xf>
    <xf numFmtId="0" fontId="3" fillId="12" borderId="12" xfId="0" applyFont="1" applyFill="1" applyBorder="1" applyAlignment="1">
      <alignment horizontal="center" vertical="center"/>
    </xf>
    <xf numFmtId="0" fontId="3" fillId="12" borderId="13" xfId="0" applyFont="1" applyFill="1" applyBorder="1" applyAlignment="1">
      <alignment horizontal="center" vertical="center"/>
    </xf>
    <xf numFmtId="0" fontId="12" fillId="13" borderId="20" xfId="0" applyFont="1" applyFill="1" applyBorder="1" applyAlignment="1">
      <alignment horizontal="center" vertical="center"/>
    </xf>
    <xf numFmtId="0" fontId="12" fillId="13" borderId="21" xfId="0" applyFont="1" applyFill="1" applyBorder="1" applyAlignment="1">
      <alignment horizontal="center" vertical="center"/>
    </xf>
    <xf numFmtId="0" fontId="12" fillId="13" borderId="11" xfId="0" applyFont="1" applyFill="1" applyBorder="1" applyAlignment="1">
      <alignment horizontal="center" wrapText="1"/>
    </xf>
    <xf numFmtId="0" fontId="12" fillId="13" borderId="12" xfId="0" applyFont="1" applyFill="1" applyBorder="1" applyAlignment="1">
      <alignment horizontal="center" wrapText="1"/>
    </xf>
    <xf numFmtId="0" fontId="12" fillId="13" borderId="13" xfId="0" applyFont="1" applyFill="1" applyBorder="1" applyAlignment="1">
      <alignment horizontal="center" wrapText="1"/>
    </xf>
    <xf numFmtId="0" fontId="12" fillId="13" borderId="11" xfId="0" applyFont="1" applyFill="1" applyBorder="1" applyAlignment="1">
      <alignment horizontal="center" vertical="center"/>
    </xf>
    <xf numFmtId="0" fontId="12" fillId="13" borderId="12" xfId="0" applyFont="1" applyFill="1" applyBorder="1" applyAlignment="1">
      <alignment horizontal="center" vertical="center"/>
    </xf>
    <xf numFmtId="0" fontId="12" fillId="13" borderId="13" xfId="0" applyFont="1" applyFill="1" applyBorder="1" applyAlignment="1">
      <alignment horizontal="center" vertical="center"/>
    </xf>
    <xf numFmtId="0" fontId="12" fillId="14" borderId="20" xfId="0" applyFont="1" applyFill="1" applyBorder="1" applyAlignment="1">
      <alignment horizontal="center" vertical="center"/>
    </xf>
    <xf numFmtId="0" fontId="12" fillId="14" borderId="21" xfId="0" applyFont="1" applyFill="1" applyBorder="1" applyAlignment="1">
      <alignment horizontal="center" vertical="center"/>
    </xf>
    <xf numFmtId="0" fontId="12" fillId="14" borderId="11" xfId="0" applyFont="1" applyFill="1" applyBorder="1" applyAlignment="1">
      <alignment horizontal="center" wrapText="1"/>
    </xf>
    <xf numFmtId="0" fontId="12" fillId="14" borderId="12" xfId="0" applyFont="1" applyFill="1" applyBorder="1" applyAlignment="1">
      <alignment horizontal="center" wrapText="1"/>
    </xf>
    <xf numFmtId="0" fontId="12" fillId="14" borderId="13" xfId="0" applyFont="1" applyFill="1" applyBorder="1" applyAlignment="1">
      <alignment horizontal="center" wrapText="1"/>
    </xf>
    <xf numFmtId="0" fontId="12" fillId="7" borderId="16" xfId="0" applyFont="1" applyFill="1" applyBorder="1" applyAlignment="1">
      <alignment horizontal="center" vertical="center"/>
    </xf>
  </cellXfs>
  <cellStyles count="5">
    <cellStyle name="Currency" xfId="1" builtinId="4"/>
    <cellStyle name="Currency 2" xfId="4" xr:uid="{4DDA07B1-8A07-41A7-A1F0-60422E0922A0}"/>
    <cellStyle name="Normal" xfId="0" builtinId="0"/>
    <cellStyle name="Normal 2" xfId="3" xr:uid="{9869D62E-E9C0-4388-B57A-A5677AE4EFDA}"/>
    <cellStyle name="Percent" xfId="2" builtinId="5"/>
  </cellStyles>
  <dxfs count="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C00000"/>
      </font>
      <fill>
        <patternFill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 outline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 outline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 outline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  <border diagonalUp="0" diagonalDown="0" outline="0">
        <left/>
        <right/>
        <top style="thin">
          <color theme="7" tint="0.3999755851924192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7" tint="0.39997558519241921"/>
        </top>
        <bottom/>
      </border>
      <protection locked="0" hidden="0"/>
    </dxf>
    <dxf>
      <border outline="0"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double">
          <color theme="7"/>
        </bottom>
      </border>
    </dxf>
    <dxf>
      <fill>
        <patternFill patternType="none">
          <fgColor indexed="64"/>
          <bgColor auto="1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theme="7"/>
          <bgColor theme="7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</border>
      <protection locked="0" hidden="0"/>
    </dxf>
    <dxf>
      <numFmt numFmtId="167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/>
      </border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protection locked="0" hidden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6" formatCode="#,##0;\-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numFmt numFmtId="1" formatCode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numFmt numFmtId="164" formatCode="mm/dd/yy;@"/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numFmt numFmtId="164" formatCode="mm/dd/yy;@"/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protection locked="0" hidden="0"/>
    </dxf>
    <dxf>
      <border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 tint="-4.9989318521683403E-2"/>
        <name val="Arial Narrow"/>
        <scheme val="none"/>
      </font>
      <fill>
        <patternFill>
          <bgColor rgb="FF7030A0"/>
        </patternFill>
      </fill>
      <alignment horizontal="center" vertical="bottom" textRotation="0" wrapText="1" indent="0" justifyLastLine="0" shrinkToFit="0"/>
      <border diagonalUp="0" diagonalDown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" formatCode="0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64" formatCode="mm/dd/yy;@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numFmt numFmtId="164" formatCode="mm/dd/yy;@"/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64" formatCode="mm/dd/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numFmt numFmtId="164" formatCode="mm/dd/yy;@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numFmt numFmtId="164" formatCode="mm/dd/yy;@"/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alignment horizont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rial Narrow"/>
        <scheme val="none"/>
      </font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 tint="-4.9989318521683403E-2"/>
        <name val="Arial Narrow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/>
        <bottom/>
      </border>
      <protection locked="0" hidden="0"/>
    </dxf>
    <dxf>
      <fill>
        <patternFill>
          <bgColor rgb="FFFFDDDD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>
          <bgColor rgb="FFFF9B9B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0"/>
      </font>
      <fill>
        <patternFill>
          <bgColor rgb="FFC00000"/>
        </patternFill>
      </fill>
    </dxf>
    <dxf>
      <fill>
        <patternFill>
          <bgColor rgb="FFEDE2F6"/>
        </patternFill>
      </fill>
    </dxf>
    <dxf>
      <fill>
        <patternFill>
          <bgColor rgb="FFD1B2E8"/>
        </patternFill>
      </fill>
    </dxf>
    <dxf>
      <border>
        <vertical style="thin">
          <color theme="0"/>
        </vertical>
        <horizontal style="thin">
          <color theme="0"/>
        </horizontal>
      </border>
    </dxf>
    <dxf>
      <fill>
        <patternFill>
          <bgColor rgb="FFE6D5F3"/>
        </patternFill>
      </fill>
    </dxf>
    <dxf>
      <fill>
        <patternFill>
          <bgColor rgb="FFC9A6E4"/>
        </patternFill>
      </fill>
    </dxf>
  </dxfs>
  <tableStyles count="3" defaultTableStyle="TableStyleMedium2" defaultPivotStyle="PivotStyleLight16">
    <tableStyle name="Table Style 1" pivot="0" count="2" xr9:uid="{3D3B0CFA-C581-47CA-92FC-0A4F5C551AEF}">
      <tableStyleElement type="firstRowStripe" dxfId="96"/>
      <tableStyleElement type="secondRowStripe" dxfId="95"/>
    </tableStyle>
    <tableStyle name="Table Style 2" pivot="0" count="3" xr9:uid="{6A82C524-FE38-4F29-AADE-19652BE4D587}">
      <tableStyleElement type="wholeTable" dxfId="94"/>
      <tableStyleElement type="firstRowStripe" dxfId="93"/>
      <tableStyleElement type="secondRowStripe" dxfId="92"/>
    </tableStyle>
    <tableStyle name="Table Style 3" pivot="0" count="3" xr9:uid="{36DCEF3E-B18A-4CD2-B7F9-2458709AF95C}">
      <tableStyleElement type="headerRow" dxfId="91"/>
      <tableStyleElement type="firstRowStripe" dxfId="90"/>
      <tableStyleElement type="secondRowStripe" dxfId="89"/>
    </tableStyle>
  </tableStyles>
  <colors>
    <mruColors>
      <color rgb="FFFF9B9B"/>
      <color rgb="FFFFDDDD"/>
      <color rgb="FFFF7575"/>
      <color rgb="FFEDE2F6"/>
      <color rgb="FFD1B2E8"/>
      <color rgb="FFC9A6E4"/>
      <color rgb="FFE6D5F3"/>
      <color rgb="FFBF95DF"/>
      <color rgb="FFFFC7CE"/>
      <color rgb="FFFED4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Goal Complete to Date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'Agent YTD Summary'!$M$9</c:f>
              <c:strCache>
                <c:ptCount val="1"/>
                <c:pt idx="0">
                  <c:v>Goal Completed to Date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Lit>
              <c:ptCount val="1"/>
              <c:pt idx="0">
                <c:v>3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'Agent YTD Summary'!$N$9:$P$9</c15:sqref>
                  </c15:fullRef>
                </c:ext>
              </c:extLst>
              <c:f>'Agent YTD Summary'!$P$9</c:f>
              <c:numCache>
                <c:formatCode>General</c:formatCode>
                <c:ptCount val="1"/>
                <c:pt idx="0" formatCode="0.00%">
                  <c:v>0.34622521000000001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4A-4B90-BA13-21E3D06FE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54434664"/>
        <c:axId val="654436632"/>
      </c:barChart>
      <c:catAx>
        <c:axId val="654434664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654436632"/>
        <c:crosses val="autoZero"/>
        <c:auto val="1"/>
        <c:lblAlgn val="ctr"/>
        <c:lblOffset val="100"/>
        <c:noMultiLvlLbl val="0"/>
      </c:catAx>
      <c:valAx>
        <c:axId val="65443663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434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Goal Complete to Date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'CSR YTD Summary'!$M$9</c:f>
              <c:strCache>
                <c:ptCount val="1"/>
                <c:pt idx="0">
                  <c:v>Goal Completed to Date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Lit>
              <c:ptCount val="1"/>
              <c:pt idx="0">
                <c:v>3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'CSR YTD Summary'!$N$9:$P$9</c15:sqref>
                  </c15:fullRef>
                </c:ext>
              </c:extLst>
              <c:f>'CSR YTD Summary'!$P$9</c:f>
              <c:numCache>
                <c:formatCode>General</c:formatCode>
                <c:ptCount val="1"/>
                <c:pt idx="0" formatCode="0.00%">
                  <c:v>0.34622521000000001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25-4914-8865-81A9533A5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54434664"/>
        <c:axId val="654436632"/>
      </c:barChart>
      <c:catAx>
        <c:axId val="654434664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654436632"/>
        <c:crosses val="autoZero"/>
        <c:auto val="1"/>
        <c:lblAlgn val="ctr"/>
        <c:lblOffset val="100"/>
        <c:noMultiLvlLbl val="0"/>
      </c:catAx>
      <c:valAx>
        <c:axId val="65443663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434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306387</xdr:colOff>
      <xdr:row>2</xdr:row>
      <xdr:rowOff>19051</xdr:rowOff>
    </xdr:from>
    <xdr:to>
      <xdr:col>0</xdr:col>
      <xdr:colOff>487362</xdr:colOff>
      <xdr:row>3</xdr:row>
      <xdr:rowOff>158751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3090C111-62ED-4A96-A196-42DD5F08251D}"/>
            </a:ext>
          </a:extLst>
        </xdr:cNvPr>
        <xdr:cNvSpPr/>
      </xdr:nvSpPr>
      <xdr:spPr>
        <a:xfrm rot="5400000">
          <a:off x="146050" y="547688"/>
          <a:ext cx="501650" cy="180975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222250</xdr:colOff>
      <xdr:row>2</xdr:row>
      <xdr:rowOff>19051</xdr:rowOff>
    </xdr:from>
    <xdr:to>
      <xdr:col>1</xdr:col>
      <xdr:colOff>403225</xdr:colOff>
      <xdr:row>3</xdr:row>
      <xdr:rowOff>158751</xdr:rowOff>
    </xdr:to>
    <xdr:sp macro="" textlink="">
      <xdr:nvSpPr>
        <xdr:cNvPr id="4" name="Arrow: Right 3">
          <a:extLst>
            <a:ext uri="{FF2B5EF4-FFF2-40B4-BE49-F238E27FC236}">
              <a16:creationId xmlns:a16="http://schemas.microsoft.com/office/drawing/2014/main" id="{70646AB9-39D2-4CFA-9FFD-E8886A4097A9}"/>
            </a:ext>
          </a:extLst>
        </xdr:cNvPr>
        <xdr:cNvSpPr/>
      </xdr:nvSpPr>
      <xdr:spPr>
        <a:xfrm rot="5400000">
          <a:off x="709613" y="547688"/>
          <a:ext cx="501650" cy="180975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222250</xdr:colOff>
      <xdr:row>2</xdr:row>
      <xdr:rowOff>19051</xdr:rowOff>
    </xdr:from>
    <xdr:to>
      <xdr:col>2</xdr:col>
      <xdr:colOff>403225</xdr:colOff>
      <xdr:row>3</xdr:row>
      <xdr:rowOff>158751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2134FB8D-3CD9-4795-98E4-1269F6A0332A}"/>
            </a:ext>
          </a:extLst>
        </xdr:cNvPr>
        <xdr:cNvSpPr/>
      </xdr:nvSpPr>
      <xdr:spPr>
        <a:xfrm rot="5400000">
          <a:off x="1319213" y="547688"/>
          <a:ext cx="501650" cy="180975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533400</xdr:colOff>
      <xdr:row>2</xdr:row>
      <xdr:rowOff>19051</xdr:rowOff>
    </xdr:from>
    <xdr:to>
      <xdr:col>3</xdr:col>
      <xdr:colOff>714375</xdr:colOff>
      <xdr:row>3</xdr:row>
      <xdr:rowOff>158751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D291DE0E-DBCD-46F2-9745-D5FD19F6E776}"/>
            </a:ext>
          </a:extLst>
        </xdr:cNvPr>
        <xdr:cNvSpPr/>
      </xdr:nvSpPr>
      <xdr:spPr>
        <a:xfrm rot="5400000">
          <a:off x="2239963" y="547688"/>
          <a:ext cx="501650" cy="180975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819150</xdr:colOff>
      <xdr:row>2</xdr:row>
      <xdr:rowOff>19051</xdr:rowOff>
    </xdr:from>
    <xdr:to>
      <xdr:col>5</xdr:col>
      <xdr:colOff>1000125</xdr:colOff>
      <xdr:row>3</xdr:row>
      <xdr:rowOff>158751</xdr:rowOff>
    </xdr:to>
    <xdr:sp macro="" textlink="">
      <xdr:nvSpPr>
        <xdr:cNvPr id="7" name="Arrow: Right 6">
          <a:extLst>
            <a:ext uri="{FF2B5EF4-FFF2-40B4-BE49-F238E27FC236}">
              <a16:creationId xmlns:a16="http://schemas.microsoft.com/office/drawing/2014/main" id="{1045BC1B-EE08-41CD-BA2A-F1B99911B423}"/>
            </a:ext>
          </a:extLst>
        </xdr:cNvPr>
        <xdr:cNvSpPr/>
      </xdr:nvSpPr>
      <xdr:spPr>
        <a:xfrm rot="5400000">
          <a:off x="4405313" y="547688"/>
          <a:ext cx="501650" cy="180975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63500</xdr:colOff>
      <xdr:row>2</xdr:row>
      <xdr:rowOff>101600</xdr:rowOff>
    </xdr:from>
    <xdr:to>
      <xdr:col>14</xdr:col>
      <xdr:colOff>387350</xdr:colOff>
      <xdr:row>2</xdr:row>
      <xdr:rowOff>282575</xdr:rowOff>
    </xdr:to>
    <xdr:sp macro="" textlink="">
      <xdr:nvSpPr>
        <xdr:cNvPr id="9" name="Arrow: Right 8">
          <a:extLst>
            <a:ext uri="{FF2B5EF4-FFF2-40B4-BE49-F238E27FC236}">
              <a16:creationId xmlns:a16="http://schemas.microsoft.com/office/drawing/2014/main" id="{0A4E9C2A-BA6F-497E-9815-2EDF3A2A881E}"/>
            </a:ext>
          </a:extLst>
        </xdr:cNvPr>
        <xdr:cNvSpPr/>
      </xdr:nvSpPr>
      <xdr:spPr>
        <a:xfrm rot="10800000">
          <a:off x="10693400" y="469900"/>
          <a:ext cx="323850" cy="180975"/>
        </a:xfrm>
        <a:prstGeom prst="righ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7619</xdr:colOff>
      <xdr:row>0</xdr:row>
      <xdr:rowOff>36194</xdr:rowOff>
    </xdr:from>
    <xdr:to>
      <xdr:col>17</xdr:col>
      <xdr:colOff>9835</xdr:colOff>
      <xdr:row>3</xdr:row>
      <xdr:rowOff>169544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6CFD0B-1134-4668-9C21-1B2C52B40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0344" y="36194"/>
          <a:ext cx="3272466" cy="1015365"/>
        </a:xfrm>
        <a:prstGeom prst="rect">
          <a:avLst/>
        </a:prstGeom>
        <a:solidFill>
          <a:srgbClr val="FFFF00"/>
        </a:solidFill>
      </xdr:spPr>
    </xdr:pic>
    <xdr:clientData/>
  </xdr:twoCellAnchor>
  <xdr:twoCellAnchor>
    <xdr:from>
      <xdr:col>13</xdr:col>
      <xdr:colOff>139065</xdr:colOff>
      <xdr:row>11</xdr:row>
      <xdr:rowOff>21907</xdr:rowOff>
    </xdr:from>
    <xdr:to>
      <xdr:col>16</xdr:col>
      <xdr:colOff>179070</xdr:colOff>
      <xdr:row>23</xdr:row>
      <xdr:rowOff>212407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F6BE2B-DB5E-4608-9B20-F914DD8C2B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280669</xdr:colOff>
      <xdr:row>0</xdr:row>
      <xdr:rowOff>36194</xdr:rowOff>
    </xdr:from>
    <xdr:to>
      <xdr:col>16</xdr:col>
      <xdr:colOff>841685</xdr:colOff>
      <xdr:row>3</xdr:row>
      <xdr:rowOff>169544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52087F-9BCA-4F37-BD42-918DD7DD0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1069" y="36194"/>
          <a:ext cx="3291516" cy="1009650"/>
        </a:xfrm>
        <a:prstGeom prst="rect">
          <a:avLst/>
        </a:prstGeom>
        <a:solidFill>
          <a:srgbClr val="FFFF00"/>
        </a:solidFill>
      </xdr:spPr>
    </xdr:pic>
    <xdr:clientData/>
  </xdr:twoCellAnchor>
  <xdr:twoCellAnchor>
    <xdr:from>
      <xdr:col>13</xdr:col>
      <xdr:colOff>139065</xdr:colOff>
      <xdr:row>11</xdr:row>
      <xdr:rowOff>21907</xdr:rowOff>
    </xdr:from>
    <xdr:to>
      <xdr:col>16</xdr:col>
      <xdr:colOff>179070</xdr:colOff>
      <xdr:row>23</xdr:row>
      <xdr:rowOff>212407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19127E3-A8B3-4713-AAA2-C3275D0C98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63AF10E-D3EA-4478-BF74-1F511B6B1E4D}" name="Table163" displayName="Table163" ref="A2:U158" totalsRowShown="0" headerRowDxfId="88" dataDxfId="86" headerRowBorderDxfId="87">
  <autoFilter ref="A2:U158" xr:uid="{00000000-0009-0000-0100-000004000000}"/>
  <sortState xmlns:xlrd2="http://schemas.microsoft.com/office/spreadsheetml/2017/richdata2" ref="A3:U158">
    <sortCondition ref="F2:F158"/>
  </sortState>
  <tableColumns count="21">
    <tableColumn id="1" xr3:uid="{AE8BAF3B-2879-4EB5-98E4-727C471E5C24}" name="Agent" dataDxfId="85" dataCellStyle="Normal 2"/>
    <tableColumn id="15" xr3:uid="{567753D0-B26F-4897-980B-C7AB91932EFC}" name="Client _x000a_First Name" dataDxfId="84" dataCellStyle="Normal 2"/>
    <tableColumn id="14" xr3:uid="{9A4CA796-BD6A-4ACE-9576-411063CB90DC}" name="Client _x000a_Last Name" dataDxfId="83" dataCellStyle="Normal 2"/>
    <tableColumn id="2" xr3:uid="{FD3E62F0-4351-4511-8AD2-F9B585AB9CA6}" name="Investment Type" dataDxfId="82" dataCellStyle="Normal 2"/>
    <tableColumn id="3" xr3:uid="{CDAA830D-5041-4431-8CB2-556D24A3170A}" name="Company" dataDxfId="81" dataCellStyle="Normal 2"/>
    <tableColumn id="4" xr3:uid="{C44701CA-75B5-446F-A0AE-33885C8A7638}" name="Date Client _x000a_Signed" dataDxfId="80" dataCellStyle="Normal 2"/>
    <tableColumn id="5" xr3:uid="{9AAD6A82-2080-4C2E-ABBE-7554C897C4E0}" name="Date_x000a_Application_x000a_Submitted" dataDxfId="79" dataCellStyle="Normal 2"/>
    <tableColumn id="19" xr3:uid="{F4E5D52F-A575-4094-B592-D3CEE0F8E13B}" name="Issued _x000a_Date" dataDxfId="78" dataCellStyle="Normal 2"/>
    <tableColumn id="25" xr3:uid="{257A85A1-89B7-4B00-8BBC-58231BBE03FD}" name="Withdrawn _x000a_Date" dataDxfId="77" dataCellStyle="Normal 2"/>
    <tableColumn id="6" xr3:uid="{085197E0-587C-4685-A88D-88176200C399}" name="Date of _x000a_Report" dataDxfId="76" dataCellStyle="Normal 2">
      <calculatedColumnFormula>TODAY()</calculatedColumnFormula>
    </tableColumn>
    <tableColumn id="23" xr3:uid="{3CA0DADD-5FCC-4C87-B00D-C91A03F51DC6}" name="Application_x000a_Status" dataDxfId="75" dataCellStyle="Normal 2"/>
    <tableColumn id="8" xr3:uid="{AFC61222-80CF-4D2A-868B-55C9C6079F43}" name="Cash _x000a_Received _x000a_with App." dataDxfId="74" dataCellStyle="Currency 2"/>
    <tableColumn id="9" xr3:uid="{BA4D169A-6C9B-4FAE-A16D-EFAED3153A74}" name="Estimated _x000a_Transfer _x000a_Amount" dataDxfId="73" dataCellStyle="Currency 2"/>
    <tableColumn id="11" xr3:uid="{9BD5DA24-90F5-47BB-AB23-1118B38D655D}" name="Actual _x000a_Amount _x000a_Rec'd" dataDxfId="72" dataCellStyle="Currency 2"/>
    <tableColumn id="24" xr3:uid="{A93AA301-AF12-4302-91D0-85251743A763}" name="Days _x000a_Pending" dataDxfId="71" dataCellStyle="Currency 2">
      <calculatedColumnFormula>DAYS360(K3,M3)</calculatedColumnFormula>
    </tableColumn>
    <tableColumn id="20" xr3:uid="{DEA9A8E4-C4C8-4D9B-AC7F-CA9E43A50B5C}" name="Days_x000a_ to Issue" dataDxfId="70" dataCellStyle="Currency 2">
      <calculatedColumnFormula>DAYS360(F3,H3)</calculatedColumnFormula>
    </tableColumn>
    <tableColumn id="16" xr3:uid="{7A3E0EC7-1295-489D-96A4-125A6B0BE4FB}" name="Last _x000a_Follow Up _x000a_Date" dataDxfId="69" dataCellStyle="Currency 2"/>
    <tableColumn id="18" xr3:uid="{83FC3B0A-64AC-4C30-94C8-368539C2E4F6}" name="CSR" dataDxfId="68" dataCellStyle="Currency 2"/>
    <tableColumn id="17" xr3:uid="{93F1E460-A605-4409-AF2D-ACFA5A50BD9F}" name="Lead Source" dataDxfId="67" dataCellStyle="Currency 2"/>
    <tableColumn id="22" xr3:uid="{1708EEC7-C5A5-4E81-8988-E49DEC9434C6}" name="Quarter" dataDxfId="66" dataCellStyle="Currency 2"/>
    <tableColumn id="21" xr3:uid="{4508D867-06E1-4114-9304-13AB371872DF}" name="Notes" dataDxfId="65" dataCellStyle="Currency 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C5A2CB-6684-45B6-B2CE-C4F33400C3FE}" name="Table1632" displayName="Table1632" ref="A13:M107" totalsRowShown="0" headerRowDxfId="64" dataDxfId="62" headerRowBorderDxfId="63">
  <autoFilter ref="A13:M107" xr:uid="{00000000-0009-0000-0100-000004000000}"/>
  <tableColumns count="13">
    <tableColumn id="1" xr3:uid="{304006A1-7657-45E1-8DE9-47B928EB52CC}" name="Agent" dataDxfId="61" dataCellStyle="Normal 2"/>
    <tableColumn id="15" xr3:uid="{0DE66057-2AC4-4627-9505-C8CB4EBC34CF}" name="Client First Name" dataDxfId="60" dataCellStyle="Normal 2"/>
    <tableColumn id="14" xr3:uid="{B2AAD091-5936-405C-BD92-63F0ABF504FB}" name="Client Last Name" dataDxfId="59" dataCellStyle="Normal 2"/>
    <tableColumn id="2" xr3:uid="{96A49EC4-43FB-44DB-9E8F-2428624AFA22}" name="Inestment Type" dataDxfId="58" dataCellStyle="Normal 2"/>
    <tableColumn id="3" xr3:uid="{18221346-2F12-485B-A505-C5348A6B830D}" name="Company" dataDxfId="57" dataCellStyle="Normal 2"/>
    <tableColumn id="8" xr3:uid="{222E69FE-F839-4434-A1A3-673D98350F2D}" name="Type of Service Request" dataDxfId="56" dataCellStyle="Normal 2"/>
    <tableColumn id="4" xr3:uid="{8271587E-AF45-42D9-96C0-D96FE0002A18}" name="Date_x000a_Client Signed" dataDxfId="55" dataCellStyle="Normal 2"/>
    <tableColumn id="5" xr3:uid="{FB41AD1C-49EA-4E76-9AB7-2E1DA8195172}" name="Date_x000a_Submitted" dataDxfId="54" dataCellStyle="Normal 2"/>
    <tableColumn id="6" xr3:uid="{4F57A225-6A19-4700-96E8-FD40416118EC}" name="Date of Report" dataDxfId="53" dataCellStyle="Normal 2">
      <calculatedColumnFormula>TODAY()</calculatedColumnFormula>
    </tableColumn>
    <tableColumn id="7" xr3:uid="{2777683F-4F3F-4558-AC34-AC1CAC8E08EA}" name="Days Out" dataDxfId="52" dataCellStyle="Normal 2"/>
    <tableColumn id="16" xr3:uid="{90641FAA-7F8B-4E3F-85DF-619670FB3497}" name="Last Follow_x000a_Up Date" dataDxfId="51" dataCellStyle="Currency 2"/>
    <tableColumn id="18" xr3:uid="{957293AB-FA12-4CAE-B0CB-6264308051BC}" name="CSR" dataDxfId="50" dataCellStyle="Currency 2"/>
    <tableColumn id="12" xr3:uid="{CD6B2322-6BA1-4596-B4D0-FAF409AFE0CD}" name="Notes" dataDxfId="49" dataCellStyle="Currency 2"/>
  </tableColumns>
  <tableStyleInfo name="Table Style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EC71408-E858-4F72-A12E-426C2E04232E}" name="Table6" displayName="Table6" ref="A12:H121" totalsRowShown="0" headerRowDxfId="48" dataDxfId="47" tableBorderDxfId="46">
  <autoFilter ref="A12:H121" xr:uid="{AEC71408-E858-4F72-A12E-426C2E04232E}"/>
  <tableColumns count="8">
    <tableColumn id="1" xr3:uid="{9F4C9F86-DAB5-4BEE-93DA-FE5E61C8A734}" name="First Name" dataDxfId="45"/>
    <tableColumn id="2" xr3:uid="{864CE01B-D7A6-40A4-9E34-27735D73D8AD}" name="Last Name" dataDxfId="44"/>
    <tableColumn id="3" xr3:uid="{67D659BA-CD05-411D-BF7E-EB0A50724512}" name="Advisor" dataDxfId="43" dataCellStyle="Normal 2"/>
    <tableColumn id="4" xr3:uid="{48ECDACF-EBA7-4D44-B2EC-7A83DF26BA35}" name="Investment _x000a_Type" dataDxfId="42" dataCellStyle="Normal 2"/>
    <tableColumn id="5" xr3:uid="{D71CB22B-305F-46EE-B1D1-613CE122C206}" name="Asset _x000a_Value" dataDxfId="41" dataCellStyle="Currency"/>
    <tableColumn id="6" xr3:uid="{DF71E013-AE18-46D4-9193-3BE7246C91B0}" name="Date Lost" dataDxfId="40"/>
    <tableColumn id="7" xr3:uid="{EBB0E70B-A3C8-4E53-A53A-0FEA91A1FE8E}" name="Reason" dataDxfId="39"/>
    <tableColumn id="8" xr3:uid="{A8B8B41F-159C-4ECC-A6D8-3495C75EC963}" name="Notes" dataDxfId="38"/>
  </tableColumns>
  <tableStyleInfo name="Table Style 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74B313C-EC75-4349-9187-A277E10A0FBF}" name="Table4" displayName="Table4" ref="A12:J140" totalsRowShown="0" headerRowDxfId="37" dataDxfId="36" tableBorderDxfId="35">
  <autoFilter ref="A12:J140" xr:uid="{774B313C-EC75-4349-9187-A277E10A0FBF}"/>
  <tableColumns count="10">
    <tableColumn id="1" xr3:uid="{BBF17E91-7241-4AE3-8DBC-01CA0566509B}" name="Advisor" dataDxfId="34" dataCellStyle="Normal 2"/>
    <tableColumn id="2" xr3:uid="{CAA2F17D-8D7D-43DD-A9A1-78C1D5F68335}" name="First Name" dataDxfId="33"/>
    <tableColumn id="3" xr3:uid="{69F19620-DFB0-4EF3-83CB-76AB47E8BD21}" name="Last Name" dataDxfId="32"/>
    <tableColumn id="4" xr3:uid="{9F37C08B-C4BA-4EFC-906B-E12A7685BA93}" name="From Firm" dataDxfId="31"/>
    <tableColumn id="5" xr3:uid="{A053446C-958B-491E-A5FA-AE0BFF34840D}" name="To Firm" dataDxfId="30"/>
    <tableColumn id="6" xr3:uid="{0EA41537-BFD1-49D8-B904-11A88A7CEA64}" name="To Investment Type" dataDxfId="29" dataCellStyle="Normal 2"/>
    <tableColumn id="7" xr3:uid="{CF541F64-6FDF-43F3-A7BF-061CCBCFA864}" name="Pending Amount" dataDxfId="28" dataCellStyle="Currency"/>
    <tableColumn id="8" xr3:uid="{359F419E-BECC-4D21-8E41-83365CF62024}" name="Completed Amount" dataDxfId="27" dataCellStyle="Currency"/>
    <tableColumn id="9" xr3:uid="{C3B4BEDB-5431-4A32-A24B-38070E62F14C}" name="CSR" dataDxfId="26" dataCellStyle="Currency 2"/>
    <tableColumn id="10" xr3:uid="{DC725329-2D95-454D-8D22-047931BFF6E9}" name="Notes" dataDxfId="25" dataCellStyle="Currency 2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4EFE7-B49B-451D-A9C9-CB80C2605419}">
  <sheetPr codeName="Sheet9"/>
  <dimension ref="A2:O30"/>
  <sheetViews>
    <sheetView tabSelected="1" workbookViewId="0">
      <selection activeCell="A6" sqref="A6"/>
    </sheetView>
  </sheetViews>
  <sheetFormatPr baseColWidth="10" defaultColWidth="8.83203125" defaultRowHeight="15" x14ac:dyDescent="0.2"/>
  <cols>
    <col min="1" max="1" width="9.33203125" bestFit="1" customWidth="1"/>
    <col min="4" max="4" width="18.1640625" bestFit="1" customWidth="1"/>
    <col min="6" max="6" width="26.83203125" bestFit="1" customWidth="1"/>
    <col min="7" max="7" width="10.33203125" bestFit="1" customWidth="1"/>
    <col min="8" max="8" width="3.83203125" customWidth="1"/>
    <col min="10" max="10" width="11.5" customWidth="1"/>
    <col min="14" max="14" width="11.1640625" customWidth="1"/>
    <col min="15" max="15" width="33.1640625" customWidth="1"/>
  </cols>
  <sheetData>
    <row r="2" spans="1:15" ht="14.5" customHeight="1" x14ac:dyDescent="0.2">
      <c r="A2" s="297" t="s">
        <v>259</v>
      </c>
      <c r="B2" s="297"/>
      <c r="C2" s="297"/>
      <c r="D2" s="297"/>
      <c r="E2" s="297"/>
      <c r="F2" s="297"/>
      <c r="G2" s="297"/>
      <c r="I2" s="292" t="s">
        <v>285</v>
      </c>
      <c r="J2" s="292"/>
      <c r="K2" s="292"/>
      <c r="L2" s="292"/>
      <c r="M2" s="292"/>
      <c r="N2" s="292"/>
    </row>
    <row r="3" spans="1:15" ht="29" x14ac:dyDescent="0.2">
      <c r="I3" s="295" t="s">
        <v>276</v>
      </c>
      <c r="J3" s="295"/>
      <c r="K3" s="291">
        <v>25000000</v>
      </c>
      <c r="L3" s="291"/>
      <c r="M3" s="291"/>
      <c r="N3" s="291"/>
    </row>
    <row r="5" spans="1:15" ht="32" x14ac:dyDescent="0.2">
      <c r="A5" s="275" t="s">
        <v>283</v>
      </c>
      <c r="B5" s="276" t="s">
        <v>30</v>
      </c>
      <c r="C5" s="276" t="s">
        <v>35</v>
      </c>
      <c r="D5" s="276" t="s">
        <v>36</v>
      </c>
      <c r="E5" s="276" t="s">
        <v>62</v>
      </c>
      <c r="F5" s="276" t="s">
        <v>144</v>
      </c>
      <c r="G5" s="275" t="s">
        <v>282</v>
      </c>
      <c r="I5" s="288" t="s">
        <v>284</v>
      </c>
      <c r="J5" s="288"/>
      <c r="K5" s="288"/>
      <c r="L5" s="288"/>
      <c r="M5" s="288"/>
      <c r="N5" s="288"/>
      <c r="O5" s="288"/>
    </row>
    <row r="6" spans="1:15" x14ac:dyDescent="0.2">
      <c r="A6" s="277" t="s">
        <v>23</v>
      </c>
      <c r="B6" s="277" t="s">
        <v>31</v>
      </c>
      <c r="C6" s="277" t="s">
        <v>52</v>
      </c>
      <c r="D6" s="277" t="s">
        <v>233</v>
      </c>
      <c r="E6" s="278" t="s">
        <v>26</v>
      </c>
      <c r="F6" s="277" t="s">
        <v>97</v>
      </c>
      <c r="G6" s="278" t="s">
        <v>225</v>
      </c>
      <c r="I6" s="289" t="s">
        <v>262</v>
      </c>
      <c r="J6" s="289"/>
      <c r="K6" s="293" t="s">
        <v>266</v>
      </c>
      <c r="L6" s="294"/>
      <c r="M6" s="294"/>
      <c r="N6" s="294"/>
      <c r="O6" s="294"/>
    </row>
    <row r="7" spans="1:15" x14ac:dyDescent="0.2">
      <c r="A7" s="277" t="s">
        <v>12</v>
      </c>
      <c r="B7" s="277" t="s">
        <v>33</v>
      </c>
      <c r="C7" s="277" t="s">
        <v>54</v>
      </c>
      <c r="D7" s="277" t="s">
        <v>106</v>
      </c>
      <c r="E7" s="278" t="s">
        <v>27</v>
      </c>
      <c r="F7" s="277" t="s">
        <v>102</v>
      </c>
      <c r="G7" s="278" t="s">
        <v>226</v>
      </c>
      <c r="I7" s="289" t="s">
        <v>263</v>
      </c>
      <c r="J7" s="289"/>
      <c r="K7" s="296" t="s">
        <v>267</v>
      </c>
      <c r="L7" s="294"/>
      <c r="M7" s="294"/>
      <c r="N7" s="294"/>
      <c r="O7" s="294"/>
    </row>
    <row r="8" spans="1:15" x14ac:dyDescent="0.2">
      <c r="A8" s="277" t="s">
        <v>24</v>
      </c>
      <c r="B8" s="277" t="s">
        <v>17</v>
      </c>
      <c r="C8" s="277" t="s">
        <v>53</v>
      </c>
      <c r="D8" s="277" t="s">
        <v>229</v>
      </c>
      <c r="E8" s="278" t="s">
        <v>28</v>
      </c>
      <c r="F8" s="277" t="s">
        <v>99</v>
      </c>
      <c r="G8" s="279" t="s">
        <v>227</v>
      </c>
      <c r="I8" s="289" t="s">
        <v>264</v>
      </c>
      <c r="J8" s="289"/>
      <c r="K8" s="293" t="s">
        <v>265</v>
      </c>
      <c r="L8" s="294"/>
      <c r="M8" s="294"/>
      <c r="N8" s="294"/>
      <c r="O8" s="294"/>
    </row>
    <row r="9" spans="1:15" x14ac:dyDescent="0.2">
      <c r="A9" s="277" t="s">
        <v>56</v>
      </c>
      <c r="B9" s="277" t="s">
        <v>32</v>
      </c>
      <c r="C9" s="277" t="s">
        <v>51</v>
      </c>
      <c r="D9" s="277" t="s">
        <v>232</v>
      </c>
      <c r="E9" s="278" t="s">
        <v>29</v>
      </c>
      <c r="F9" s="280" t="s">
        <v>100</v>
      </c>
      <c r="G9" s="281"/>
    </row>
    <row r="10" spans="1:15" x14ac:dyDescent="0.2">
      <c r="A10" s="277"/>
      <c r="B10" s="277"/>
      <c r="C10" s="277"/>
      <c r="D10" s="277" t="s">
        <v>231</v>
      </c>
      <c r="E10" s="279" t="s">
        <v>63</v>
      </c>
      <c r="F10" s="280" t="s">
        <v>98</v>
      </c>
      <c r="G10" s="282"/>
      <c r="I10" s="288" t="s">
        <v>277</v>
      </c>
      <c r="J10" s="288"/>
      <c r="K10" s="288"/>
      <c r="L10" s="288"/>
      <c r="M10" s="288"/>
      <c r="N10" s="288"/>
      <c r="O10" s="288"/>
    </row>
    <row r="11" spans="1:15" ht="31" customHeight="1" x14ac:dyDescent="0.2">
      <c r="A11" s="277"/>
      <c r="B11" s="277"/>
      <c r="C11" s="277"/>
      <c r="D11" s="280" t="s">
        <v>37</v>
      </c>
      <c r="E11" s="281"/>
      <c r="F11" s="283" t="s">
        <v>101</v>
      </c>
      <c r="G11" s="282"/>
      <c r="I11" s="289" t="s">
        <v>278</v>
      </c>
      <c r="J11" s="289"/>
      <c r="K11" s="290" t="s">
        <v>287</v>
      </c>
      <c r="L11" s="290"/>
      <c r="M11" s="290"/>
      <c r="N11" s="290"/>
      <c r="O11" s="290"/>
    </row>
    <row r="12" spans="1:15" ht="29.5" customHeight="1" x14ac:dyDescent="0.2">
      <c r="A12" s="277"/>
      <c r="B12" s="277"/>
      <c r="C12" s="277"/>
      <c r="D12" s="280" t="s">
        <v>230</v>
      </c>
      <c r="E12" s="282"/>
      <c r="F12" s="283" t="s">
        <v>103</v>
      </c>
      <c r="G12" s="282"/>
      <c r="I12" s="289" t="s">
        <v>279</v>
      </c>
      <c r="J12" s="289"/>
      <c r="K12" s="290" t="s">
        <v>286</v>
      </c>
      <c r="L12" s="290"/>
      <c r="M12" s="290"/>
      <c r="N12" s="290"/>
      <c r="O12" s="290"/>
    </row>
    <row r="13" spans="1:15" x14ac:dyDescent="0.2">
      <c r="A13" s="277"/>
      <c r="B13" s="277"/>
      <c r="C13" s="277"/>
      <c r="D13" s="280" t="s">
        <v>49</v>
      </c>
      <c r="E13" s="282"/>
      <c r="F13" s="284"/>
      <c r="G13" s="282"/>
      <c r="I13" s="289" t="s">
        <v>280</v>
      </c>
      <c r="J13" s="289"/>
      <c r="K13" s="290" t="s">
        <v>288</v>
      </c>
      <c r="L13" s="290"/>
      <c r="M13" s="290"/>
      <c r="N13" s="290"/>
      <c r="O13" s="290"/>
    </row>
    <row r="14" spans="1:15" x14ac:dyDescent="0.2">
      <c r="A14" s="277"/>
      <c r="B14" s="277"/>
      <c r="C14" s="277"/>
      <c r="D14" s="280" t="s">
        <v>43</v>
      </c>
      <c r="E14" s="282"/>
      <c r="F14" s="284"/>
      <c r="G14" s="282"/>
      <c r="I14" s="289" t="s">
        <v>281</v>
      </c>
      <c r="J14" s="289"/>
      <c r="K14" s="290" t="s">
        <v>289</v>
      </c>
      <c r="L14" s="290"/>
      <c r="M14" s="290"/>
      <c r="N14" s="290"/>
      <c r="O14" s="290"/>
    </row>
    <row r="15" spans="1:15" x14ac:dyDescent="0.2">
      <c r="A15" s="277"/>
      <c r="B15" s="277"/>
      <c r="C15" s="277"/>
      <c r="D15" s="280" t="s">
        <v>41</v>
      </c>
      <c r="E15" s="282"/>
      <c r="F15" s="284"/>
      <c r="G15" s="282"/>
    </row>
    <row r="16" spans="1:15" x14ac:dyDescent="0.2">
      <c r="A16" s="277"/>
      <c r="B16" s="277"/>
      <c r="C16" s="277"/>
      <c r="D16" s="280" t="s">
        <v>40</v>
      </c>
      <c r="E16" s="282"/>
      <c r="F16" s="284"/>
      <c r="G16" s="282"/>
      <c r="I16" s="288" t="s">
        <v>290</v>
      </c>
      <c r="J16" s="288"/>
      <c r="K16" s="288"/>
      <c r="L16" s="288"/>
      <c r="M16" s="288"/>
      <c r="N16" s="288"/>
      <c r="O16" s="288"/>
    </row>
    <row r="17" spans="1:15" ht="44" customHeight="1" x14ac:dyDescent="0.2">
      <c r="A17" s="277"/>
      <c r="B17" s="277"/>
      <c r="C17" s="277"/>
      <c r="D17" s="280" t="s">
        <v>45</v>
      </c>
      <c r="E17" s="282"/>
      <c r="F17" s="284"/>
      <c r="G17" s="282"/>
      <c r="I17" s="289" t="s">
        <v>291</v>
      </c>
      <c r="J17" s="289"/>
      <c r="K17" s="290" t="s">
        <v>293</v>
      </c>
      <c r="L17" s="290"/>
      <c r="M17" s="290"/>
      <c r="N17" s="290"/>
      <c r="O17" s="290"/>
    </row>
    <row r="18" spans="1:15" ht="43" customHeight="1" x14ac:dyDescent="0.2">
      <c r="A18" s="277"/>
      <c r="B18" s="277"/>
      <c r="C18" s="277"/>
      <c r="D18" s="280" t="s">
        <v>38</v>
      </c>
      <c r="E18" s="282"/>
      <c r="F18" s="284"/>
      <c r="G18" s="282"/>
      <c r="I18" s="289" t="s">
        <v>292</v>
      </c>
      <c r="J18" s="289"/>
      <c r="K18" s="290" t="s">
        <v>294</v>
      </c>
      <c r="L18" s="290"/>
      <c r="M18" s="290"/>
      <c r="N18" s="290"/>
      <c r="O18" s="290"/>
    </row>
    <row r="19" spans="1:15" x14ac:dyDescent="0.2">
      <c r="A19" s="277"/>
      <c r="B19" s="277"/>
      <c r="C19" s="277"/>
      <c r="D19" s="280" t="s">
        <v>42</v>
      </c>
      <c r="E19" s="282"/>
      <c r="F19" s="284"/>
      <c r="G19" s="282"/>
    </row>
    <row r="20" spans="1:15" x14ac:dyDescent="0.2">
      <c r="A20" s="277"/>
      <c r="B20" s="277"/>
      <c r="C20" s="277"/>
      <c r="D20" s="280" t="s">
        <v>44</v>
      </c>
      <c r="E20" s="282"/>
      <c r="F20" s="284"/>
      <c r="G20" s="282"/>
    </row>
    <row r="21" spans="1:15" x14ac:dyDescent="0.2">
      <c r="A21" s="277"/>
      <c r="B21" s="277"/>
      <c r="C21" s="277"/>
      <c r="D21" s="280" t="s">
        <v>39</v>
      </c>
      <c r="E21" s="282"/>
      <c r="F21" s="284"/>
      <c r="G21" s="282"/>
    </row>
    <row r="22" spans="1:15" x14ac:dyDescent="0.2">
      <c r="A22" s="277"/>
      <c r="B22" s="277"/>
      <c r="C22" s="277"/>
      <c r="D22" s="280" t="s">
        <v>46</v>
      </c>
      <c r="E22" s="282"/>
      <c r="F22" s="284"/>
      <c r="G22" s="282"/>
    </row>
    <row r="23" spans="1:15" x14ac:dyDescent="0.2">
      <c r="A23" s="277"/>
      <c r="B23" s="277"/>
      <c r="C23" s="277"/>
      <c r="D23" s="280" t="s">
        <v>47</v>
      </c>
      <c r="E23" s="282"/>
      <c r="F23" s="284"/>
      <c r="G23" s="282"/>
    </row>
    <row r="24" spans="1:15" x14ac:dyDescent="0.2">
      <c r="A24" s="277"/>
      <c r="B24" s="277"/>
      <c r="C24" s="277"/>
      <c r="D24" s="280" t="s">
        <v>234</v>
      </c>
      <c r="E24" s="282"/>
      <c r="F24" s="284"/>
      <c r="G24" s="282"/>
    </row>
    <row r="25" spans="1:15" x14ac:dyDescent="0.2">
      <c r="A25" s="277"/>
      <c r="B25" s="277"/>
      <c r="C25" s="277"/>
      <c r="D25" s="280" t="s">
        <v>50</v>
      </c>
      <c r="E25" s="282"/>
      <c r="F25" s="284"/>
      <c r="G25" s="282"/>
    </row>
    <row r="26" spans="1:15" x14ac:dyDescent="0.2">
      <c r="A26" s="285"/>
      <c r="B26" s="285"/>
      <c r="C26" s="285"/>
      <c r="D26" s="280" t="s">
        <v>48</v>
      </c>
      <c r="E26" s="282"/>
      <c r="F26" s="284"/>
      <c r="G26" s="282"/>
    </row>
    <row r="27" spans="1:15" x14ac:dyDescent="0.2">
      <c r="A27" s="285"/>
      <c r="B27" s="285"/>
      <c r="C27" s="285"/>
      <c r="D27" s="286"/>
      <c r="E27" s="282"/>
      <c r="F27" s="284"/>
      <c r="G27" s="282"/>
    </row>
    <row r="28" spans="1:15" x14ac:dyDescent="0.2">
      <c r="A28" s="285"/>
      <c r="B28" s="285"/>
      <c r="C28" s="285"/>
      <c r="D28" s="286"/>
      <c r="E28" s="282"/>
      <c r="F28" s="284"/>
      <c r="G28" s="282"/>
    </row>
    <row r="29" spans="1:15" x14ac:dyDescent="0.2">
      <c r="A29" s="285"/>
      <c r="B29" s="285"/>
      <c r="C29" s="285"/>
      <c r="D29" s="286"/>
      <c r="E29" s="282"/>
      <c r="F29" s="284"/>
      <c r="G29" s="282"/>
    </row>
    <row r="30" spans="1:15" x14ac:dyDescent="0.2">
      <c r="A30" s="285"/>
      <c r="B30" s="285"/>
      <c r="C30" s="285"/>
      <c r="D30" s="286"/>
      <c r="E30" s="287"/>
      <c r="F30" s="284"/>
      <c r="G30" s="287"/>
    </row>
  </sheetData>
  <sheetProtection sheet="1" objects="1" scenarios="1" selectLockedCells="1"/>
  <sortState xmlns:xlrd2="http://schemas.microsoft.com/office/spreadsheetml/2017/richdata2" ref="D6:D26">
    <sortCondition ref="D6:D26"/>
  </sortState>
  <mergeCells count="25">
    <mergeCell ref="A2:G2"/>
    <mergeCell ref="I2:N2"/>
    <mergeCell ref="I8:J8"/>
    <mergeCell ref="K8:O8"/>
    <mergeCell ref="I10:O10"/>
    <mergeCell ref="I11:J11"/>
    <mergeCell ref="K11:O11"/>
    <mergeCell ref="I3:J3"/>
    <mergeCell ref="I5:O5"/>
    <mergeCell ref="I6:J6"/>
    <mergeCell ref="K6:O6"/>
    <mergeCell ref="I7:J7"/>
    <mergeCell ref="K7:O7"/>
    <mergeCell ref="I13:J13"/>
    <mergeCell ref="K13:O13"/>
    <mergeCell ref="I14:J14"/>
    <mergeCell ref="K14:O14"/>
    <mergeCell ref="K3:N3"/>
    <mergeCell ref="I12:J12"/>
    <mergeCell ref="K12:O12"/>
    <mergeCell ref="I16:O16"/>
    <mergeCell ref="I17:J17"/>
    <mergeCell ref="K17:O17"/>
    <mergeCell ref="I18:J18"/>
    <mergeCell ref="K18:O18"/>
  </mergeCells>
  <pageMargins left="0.7" right="0.7" top="0.75" bottom="0.75" header="0.3" footer="0.3"/>
  <pageSetup orientation="portrait" verticalDpi="597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B1D3C-45E0-479C-8D4E-987254369721}">
  <sheetPr codeName="Sheet1">
    <pageSetUpPr fitToPage="1"/>
  </sheetPr>
  <dimension ref="A1:T49"/>
  <sheetViews>
    <sheetView zoomScaleNormal="100" workbookViewId="0">
      <selection activeCell="F11" sqref="F11"/>
    </sheetView>
  </sheetViews>
  <sheetFormatPr baseColWidth="10" defaultColWidth="8.83203125" defaultRowHeight="15" x14ac:dyDescent="0.2"/>
  <cols>
    <col min="1" max="1" width="9.83203125" bestFit="1" customWidth="1"/>
    <col min="2" max="3" width="13.5" bestFit="1" customWidth="1"/>
    <col min="4" max="4" width="12" bestFit="1" customWidth="1"/>
    <col min="5" max="5" width="10" bestFit="1" customWidth="1"/>
    <col min="6" max="7" width="13.5" bestFit="1" customWidth="1"/>
    <col min="8" max="8" width="12" bestFit="1" customWidth="1"/>
    <col min="9" max="11" width="13.5" bestFit="1" customWidth="1"/>
    <col min="17" max="17" width="12.1640625" bestFit="1" customWidth="1"/>
    <col min="19" max="19" width="17.5" bestFit="1" customWidth="1"/>
    <col min="20" max="20" width="10.5" bestFit="1" customWidth="1"/>
  </cols>
  <sheetData>
    <row r="1" spans="1:20" ht="23.5" customHeight="1" thickBot="1" x14ac:dyDescent="0.25">
      <c r="A1" s="259" t="s">
        <v>258</v>
      </c>
      <c r="B1" s="260">
        <f ca="1">TODAY()</f>
        <v>45103</v>
      </c>
      <c r="S1" s="96" t="s">
        <v>237</v>
      </c>
      <c r="T1" s="97">
        <f ca="1">TODAY()</f>
        <v>45103</v>
      </c>
    </row>
    <row r="2" spans="1:20" ht="26" thickBot="1" x14ac:dyDescent="0.25">
      <c r="A2" s="303" t="s">
        <v>214</v>
      </c>
      <c r="B2" s="304"/>
      <c r="C2" s="304"/>
      <c r="D2" s="304"/>
      <c r="E2" s="304"/>
      <c r="F2" s="304"/>
      <c r="G2" s="304"/>
      <c r="H2" s="304"/>
      <c r="I2" s="304"/>
      <c r="J2" s="304"/>
      <c r="K2" s="305"/>
      <c r="S2" s="96" t="s">
        <v>238</v>
      </c>
      <c r="T2" s="97">
        <f ca="1">DATE(YEAR(TODAY()),1,1)</f>
        <v>44927</v>
      </c>
    </row>
    <row r="3" spans="1:20" ht="21" thickBot="1" x14ac:dyDescent="0.25">
      <c r="A3" s="298" t="s">
        <v>30</v>
      </c>
      <c r="B3" s="300" t="s">
        <v>21</v>
      </c>
      <c r="C3" s="301"/>
      <c r="D3" s="301"/>
      <c r="E3" s="301"/>
      <c r="F3" s="302"/>
      <c r="G3" s="300" t="s">
        <v>22</v>
      </c>
      <c r="H3" s="301"/>
      <c r="I3" s="301"/>
      <c r="J3" s="301"/>
      <c r="K3" s="302"/>
    </row>
    <row r="4" spans="1:20" ht="16" thickBot="1" x14ac:dyDescent="0.25">
      <c r="A4" s="299"/>
      <c r="B4" s="11" t="str">
        <f>'Data Source'!A6</f>
        <v>Annuity</v>
      </c>
      <c r="C4" s="12" t="str">
        <f>'Data Source'!A7</f>
        <v>AUM</v>
      </c>
      <c r="D4" s="12" t="str">
        <f>'Data Source'!A8</f>
        <v>Life</v>
      </c>
      <c r="E4" s="12" t="str">
        <f>'Data Source'!A9</f>
        <v>Med Supp</v>
      </c>
      <c r="F4" s="89" t="s">
        <v>25</v>
      </c>
      <c r="G4" s="35" t="str">
        <f>'Data Source'!E6</f>
        <v>Q1</v>
      </c>
      <c r="H4" s="14" t="str">
        <f>'Data Source'!E7</f>
        <v>Q2</v>
      </c>
      <c r="I4" s="14" t="str">
        <f>'Data Source'!E8</f>
        <v>Q3</v>
      </c>
      <c r="J4" s="14" t="str">
        <f>'Data Source'!E9</f>
        <v>Q4</v>
      </c>
      <c r="K4" s="36" t="str">
        <f>'Data Source'!E10</f>
        <v>Prior Yr</v>
      </c>
    </row>
    <row r="5" spans="1:20" ht="16" x14ac:dyDescent="0.2">
      <c r="A5" s="3" t="str">
        <f>'Data Source'!B6</f>
        <v>Chris</v>
      </c>
      <c r="B5" s="79">
        <f>((SUMIFS('2023 Business Log'!$M$3:$M$157,'2023 Business Log'!$A$3:$A$157,A5,'2023 Business Log'!$D$3:$D$157,$B$4,'2023 Business Log'!$K$3:$K$157,"Pending"))+(SUMIFS('2023 Business Log'!$L$3:$L$157,'2023 Business Log'!$A$3:$A$157,A5,'2023 Business Log'!$D$3:$D$157,$B$4,'2023 Business Log'!$K$3:$K$157,"Pending")))</f>
        <v>500000</v>
      </c>
      <c r="C5" s="81">
        <f>((SUMIFS('2023 Business Log'!$M$3:$M$157,'2023 Business Log'!$A$3:$A$157,A5,'2023 Business Log'!$D$3:$D$157,$C$4,'2023 Business Log'!$K$3:$K$157,"Pending"))+(SUMIFS('2023 Business Log'!$L$3:$L$157,'2023 Business Log'!$A$3:$A$157,A5,'2023 Business Log'!$D$3:$D$157,$C$4,'2023 Business Log'!$K$3:$K$157,"Pending")))</f>
        <v>0</v>
      </c>
      <c r="D5" s="81">
        <f>((SUMIFS('2023 Business Log'!$M$3:$M$157,'2023 Business Log'!$A$3:$A$157,A5,'2023 Business Log'!$D$3:$D$157,$D$4,'2023 Business Log'!$K$3:$K$157,"Pending"))+(SUMIFS('2023 Business Log'!$L$3:$L$157,'2023 Business Log'!$A$3:$A$157,A5,'2023 Business Log'!$D$3:$D$157,$D$4,'2023 Business Log'!$K$3:$K$157,"Pending")))</f>
        <v>15000</v>
      </c>
      <c r="E5" s="82">
        <f>((SUMIFS('2023 Business Log'!$M$3:$M$157,'2023 Business Log'!$A$3:$A$157,A5,'2023 Business Log'!$D$3:$D$157,$E$4,'2023 Business Log'!$K$3:$K$157,"Pending"))+(SUMIFS('2023 Business Log'!$L$3:$L$157,'2023 Business Log'!$A$3:$A$157,A5,'2023 Business Log'!$D$3:$D$157,$E$4,'2023 Business Log'!$K$3:$K$157,"Pending")))</f>
        <v>500</v>
      </c>
      <c r="F5" s="231">
        <f t="shared" ref="F5:F12" si="0">SUM(B5:E5)</f>
        <v>515500</v>
      </c>
      <c r="G5" s="21">
        <f>((SUMIFS('2023 Business Log'!$M$3:$M$157,'2023 Business Log'!$A$3:$A$157,A5,'2023 Business Log'!$T$3:$T$157,$G$4,'2023 Business Log'!$K$3:$K$157,"Pending"))+(SUMIFS('2023 Business Log'!$L$3:$L$157,'2023 Business Log'!$A$3:$A$157,A5,'2023 Business Log'!$T$3:$T$157,$G$4,'2023 Business Log'!$K$3:$K$157,"Pending")))</f>
        <v>0</v>
      </c>
      <c r="H5" s="22">
        <f>((SUMIFS('2023 Business Log'!$M$3:$M$157,'2023 Business Log'!$A$3:$A$157,A5,'2023 Business Log'!$T$3:$T$157,$H$4,'2023 Business Log'!$K$3:$K$157,"Pending"))+(SUMIFS('2023 Business Log'!$L$3:$L$157,'2023 Business Log'!$A$3:$A$157,A5,'2023 Business Log'!$T$3:$T$157,$H$4,'2023 Business Log'!$K$3:$K$157,"Pending")))</f>
        <v>15000</v>
      </c>
      <c r="I5" s="22">
        <f>((SUMIFS('2023 Business Log'!$M$3:$M$157,'2023 Business Log'!$A$3:$A$157,A5,'2023 Business Log'!$T$3:$T$157,$I$4,'2023 Business Log'!$K$3:$K$157,"Pending"))+(SUMIFS('2023 Business Log'!$L$3:$L$157,'2023 Business Log'!$A$3:$A$157,A5,'2023 Business Log'!$T$3:$T$157,$I$4,'2023 Business Log'!$K$3:$K$157,"Pending")))</f>
        <v>500</v>
      </c>
      <c r="J5" s="22">
        <f>((SUMIFS('2023 Business Log'!$M$3:$M$157,'2023 Business Log'!$A$3:$A$157,A5,'2023 Business Log'!$T$3:$T$157,$J$4,'2023 Business Log'!$K$3:$K$157,"Pending"))+(SUMIFS('2023 Business Log'!$L$3:$L$157,'2023 Business Log'!$A$3:$A$157,A5,'2023 Business Log'!$T$3:$T$157,$J$4,'2023 Business Log'!$K$3:$K$157,"Pending")))</f>
        <v>500000</v>
      </c>
      <c r="K5" s="23">
        <f>((SUMIFS('2023 Business Log'!$M$3:$M$157,'2023 Business Log'!$A$3:$A$157,A5,'2023 Business Log'!$T$3:$T$157,$K$4,'2023 Business Log'!$K$3:$K$157,"Pending"))+(SUMIFS('2023 Business Log'!$L$3:$L$157,'2023 Business Log'!$A$3:$A$157,A5,'2023 Business Log'!$T$3:$T$157,$K$4,'2023 Business Log'!$K$3:$K$157,"Pending")))</f>
        <v>0</v>
      </c>
      <c r="M5" s="325">
        <f>'Data Source'!K3</f>
        <v>25000000</v>
      </c>
      <c r="N5" s="326"/>
      <c r="O5" s="326"/>
      <c r="P5" s="326"/>
      <c r="Q5" s="327"/>
    </row>
    <row r="6" spans="1:20" ht="17" thickBot="1" x14ac:dyDescent="0.25">
      <c r="A6" s="3" t="str">
        <f>'Data Source'!B7</f>
        <v>John</v>
      </c>
      <c r="B6" s="83">
        <f>((SUMIFS('2023 Business Log'!$M$3:$M$157,'2023 Business Log'!$A$3:$A$157,A6,'2023 Business Log'!$D$3:$D$157,$B$4,'2023 Business Log'!$K$3:$K$157,"Pending"))+(SUMIFS('2023 Business Log'!$L$3:$L$157,'2023 Business Log'!$A$3:$A$157,A6,'2023 Business Log'!$D$3:$D$157,$B$4,'2023 Business Log'!$K$3:$K$157,"Pending")))</f>
        <v>0</v>
      </c>
      <c r="C6" s="80">
        <f>((SUMIFS('2023 Business Log'!$M$3:$M$157,'2023 Business Log'!$A$3:$A$157,A6,'2023 Business Log'!$D$3:$D$157,$C$4,'2023 Business Log'!$K$3:$K$157,"Pending"))+(SUMIFS('2023 Business Log'!$L$3:$L$157,'2023 Business Log'!$A$3:$A$157,A6,'2023 Business Log'!$D$3:$D$157,$C$4,'2023 Business Log'!$K$3:$K$157,"Pending")))</f>
        <v>0</v>
      </c>
      <c r="D6" s="80">
        <f>((SUMIFS('2023 Business Log'!$M$3:$M$157,'2023 Business Log'!$A$3:$A$157,A6,'2023 Business Log'!$D$3:$D$157,$D$4,'2023 Business Log'!$K$3:$K$157,"Pending"))+(SUMIFS('2023 Business Log'!$L$3:$L$157,'2023 Business Log'!$A$3:$A$157,A6,'2023 Business Log'!$D$3:$D$157,$D$4,'2023 Business Log'!$K$3:$K$157,"Pending")))</f>
        <v>0</v>
      </c>
      <c r="E6" s="84">
        <f>((SUMIFS('2023 Business Log'!$M$3:$M$157,'2023 Business Log'!$A$3:$A$157,A6,'2023 Business Log'!$D$3:$D$157,$E$4,'2023 Business Log'!$K$3:$K$157,"Pending"))+(SUMIFS('2023 Business Log'!$L$3:$L$157,'2023 Business Log'!$A$3:$A$157,A6,'2023 Business Log'!$D$3:$D$157,$E$4,'2023 Business Log'!$K$3:$K$157,"Pending")))</f>
        <v>0</v>
      </c>
      <c r="F6" s="232">
        <f t="shared" si="0"/>
        <v>0</v>
      </c>
      <c r="G6" s="19">
        <f>((SUMIFS('2023 Business Log'!$M$3:$M$157,'2023 Business Log'!$A$3:$A$157,A6,'2023 Business Log'!$T$3:$T$157,$G$4,'2023 Business Log'!$K$3:$K$157,"Pending"))+(SUMIFS('2023 Business Log'!$L$3:$L$157,'2023 Business Log'!$A$3:$A$157,A6,'2023 Business Log'!$T$3:$T$157,$G$4,'2023 Business Log'!$K$3:$K$157,"Pending")))</f>
        <v>0</v>
      </c>
      <c r="H6" s="20">
        <f>((SUMIFS('2023 Business Log'!$M$3:$M$157,'2023 Business Log'!$A$3:$A$157,A6,'2023 Business Log'!$T$3:$T$157,$H$4,'2023 Business Log'!$K$3:$K$157,"Pending"))+(SUMIFS('2023 Business Log'!$L$3:$L$157,'2023 Business Log'!$A$3:$A$157,A6,'2023 Business Log'!$T$3:$T$157,$H$4,'2023 Business Log'!$K$3:$K$157,"Pending")))</f>
        <v>0</v>
      </c>
      <c r="I6" s="20">
        <f>((SUMIFS('2023 Business Log'!$M$3:$M$157,'2023 Business Log'!$A$3:$A$157,A6,'2023 Business Log'!$T$3:$T$157,$I$4,'2023 Business Log'!$K$3:$K$157,"Pending"))+(SUMIFS('2023 Business Log'!$L$3:$L$157,'2023 Business Log'!$A$3:$A$157,A6,'2023 Business Log'!$T$3:$T$157,$I$4,'2023 Business Log'!$K$3:$K$157,"Pending")))</f>
        <v>0</v>
      </c>
      <c r="J6" s="20">
        <f>((SUMIFS('2023 Business Log'!$M$3:$M$157,'2023 Business Log'!$A$3:$A$157,A6,'2023 Business Log'!$T$3:$T$157,$J$4,'2023 Business Log'!$K$3:$K$157,"Pending"))+(SUMIFS('2023 Business Log'!$L$3:$L$157,'2023 Business Log'!$A$3:$A$157,A6,'2023 Business Log'!$T$3:$T$157,$J$4,'2023 Business Log'!$K$3:$K$157,"Pending")))</f>
        <v>0</v>
      </c>
      <c r="K6" s="24">
        <f>((SUMIFS('2023 Business Log'!$M$3:$M$157,'2023 Business Log'!$A$3:$A$157,A6,'2023 Business Log'!$T$3:$T$157,$K$4,'2023 Business Log'!$K$3:$K$157,"Pending"))+(SUMIFS('2023 Business Log'!$L$3:$L$157,'2023 Business Log'!$A$3:$A$157,A6,'2023 Business Log'!$T$3:$T$157,$K$4,'2023 Business Log'!$K$3:$K$157,"Pending")))</f>
        <v>0</v>
      </c>
      <c r="M6" s="328"/>
      <c r="N6" s="329"/>
      <c r="O6" s="329"/>
      <c r="P6" s="329"/>
      <c r="Q6" s="330"/>
    </row>
    <row r="7" spans="1:20" ht="16" x14ac:dyDescent="0.2">
      <c r="A7" s="3" t="str">
        <f>'Data Source'!B8</f>
        <v>Mark</v>
      </c>
      <c r="B7" s="83">
        <f>((SUMIFS('2023 Business Log'!$M$3:$M$157,'2023 Business Log'!$A$3:$A$157,A7,'2023 Business Log'!$D$3:$D$157,$B$4,'2023 Business Log'!$K$3:$K$157,"Pending"))+(SUMIFS('2023 Business Log'!$L$3:$L$157,'2023 Business Log'!$A$3:$A$157,A7,'2023 Business Log'!$D$3:$D$157,$B$4,'2023 Business Log'!$K$3:$K$157,"Pending")))</f>
        <v>50000</v>
      </c>
      <c r="C7" s="80">
        <f>((SUMIFS('2023 Business Log'!$M$3:$M$157,'2023 Business Log'!$A$3:$A$157,A7,'2023 Business Log'!$D$3:$D$157,$C$4,'2023 Business Log'!$K$3:$K$157,"Pending"))+(SUMIFS('2023 Business Log'!$L$3:$L$157,'2023 Business Log'!$A$3:$A$157,A7,'2023 Business Log'!$D$3:$D$157,$C$4,'2023 Business Log'!$K$3:$K$157,"Pending")))</f>
        <v>850000</v>
      </c>
      <c r="D7" s="80">
        <f>((SUMIFS('2023 Business Log'!$M$3:$M$157,'2023 Business Log'!$A$3:$A$157,A7,'2023 Business Log'!$D$3:$D$157,$D$4,'2023 Business Log'!$K$3:$K$157,"Pending"))+(SUMIFS('2023 Business Log'!$L$3:$L$157,'2023 Business Log'!$A$3:$A$157,A7,'2023 Business Log'!$D$3:$D$157,$D$4,'2023 Business Log'!$K$3:$K$157,"Pending")))</f>
        <v>0</v>
      </c>
      <c r="E7" s="84">
        <f>((SUMIFS('2023 Business Log'!$M$3:$M$157,'2023 Business Log'!$A$3:$A$157,A7,'2023 Business Log'!$D$3:$D$157,$E$4,'2023 Business Log'!$K$3:$K$157,"Pending"))+(SUMIFS('2023 Business Log'!$L$3:$L$157,'2023 Business Log'!$A$3:$A$157,A7,'2023 Business Log'!$D$3:$D$157,$E$4,'2023 Business Log'!$K$3:$K$157,"Pending")))</f>
        <v>0</v>
      </c>
      <c r="F7" s="232">
        <f t="shared" si="0"/>
        <v>900000</v>
      </c>
      <c r="G7" s="19">
        <f>((SUMIFS('2023 Business Log'!$M$3:$M$157,'2023 Business Log'!$A$3:$A$157,A7,'2023 Business Log'!$T$3:$T$157,$G$4,'2023 Business Log'!$K$3:$K$157,"Pending"))+(SUMIFS('2023 Business Log'!$L$3:$L$157,'2023 Business Log'!$A$3:$A$157,A7,'2023 Business Log'!$T$3:$T$157,$G$4,'2023 Business Log'!$K$3:$K$157,"Pending")))</f>
        <v>0</v>
      </c>
      <c r="H7" s="20">
        <f>((SUMIFS('2023 Business Log'!$M$3:$M$157,'2023 Business Log'!$A$3:$A$157,A7,'2023 Business Log'!$T$3:$T$157,$H$4,'2023 Business Log'!$K$3:$K$157,"Pending"))+(SUMIFS('2023 Business Log'!$L$3:$L$157,'2023 Business Log'!$A$3:$A$157,A7,'2023 Business Log'!$T$3:$T$157,$H$4,'2023 Business Log'!$K$3:$K$157,"Pending")))</f>
        <v>0</v>
      </c>
      <c r="I7" s="20">
        <f>((SUMIFS('2023 Business Log'!$M$3:$M$157,'2023 Business Log'!$A$3:$A$157,A7,'2023 Business Log'!$T$3:$T$157,$I$4,'2023 Business Log'!$K$3:$K$157,"Pending"))+(SUMIFS('2023 Business Log'!$L$3:$L$157,'2023 Business Log'!$A$3:$A$157,A7,'2023 Business Log'!$T$3:$T$157,$I$4,'2023 Business Log'!$K$3:$K$157,"Pending")))</f>
        <v>0</v>
      </c>
      <c r="J7" s="20">
        <f>((SUMIFS('2023 Business Log'!$M$3:$M$157,'2023 Business Log'!$A$3:$A$157,A7,'2023 Business Log'!$T$3:$T$157,$J$4,'2023 Business Log'!$K$3:$K$157,"Pending"))+(SUMIFS('2023 Business Log'!$L$3:$L$157,'2023 Business Log'!$A$3:$A$157,A7,'2023 Business Log'!$T$3:$T$157,$J$4,'2023 Business Log'!$K$3:$K$157,"Pending")))</f>
        <v>900000</v>
      </c>
      <c r="K7" s="24">
        <f>((SUMIFS('2023 Business Log'!$M$3:$M$157,'2023 Business Log'!$A$3:$A$157,A7,'2023 Business Log'!$T$3:$T$157,$K$4,'2023 Business Log'!$K$3:$K$157,"Pending"))+(SUMIFS('2023 Business Log'!$L$3:$L$157,'2023 Business Log'!$A$3:$A$157,A7,'2023 Business Log'!$T$3:$T$157,$K$4,'2023 Business Log'!$K$3:$K$157,"Pending")))</f>
        <v>0</v>
      </c>
    </row>
    <row r="8" spans="1:20" ht="16" x14ac:dyDescent="0.2">
      <c r="A8" s="3" t="str">
        <f>'Data Source'!B9</f>
        <v>Mike</v>
      </c>
      <c r="B8" s="83">
        <f>((SUMIFS('2023 Business Log'!$M$3:$M$157,'2023 Business Log'!$A$3:$A$157,A8,'2023 Business Log'!$D$3:$D$157,$B$4,'2023 Business Log'!$K$3:$K$157,"Pending"))+(SUMIFS('2023 Business Log'!$L$3:$L$157,'2023 Business Log'!$A$3:$A$157,A8,'2023 Business Log'!$D$3:$D$157,$B$4,'2023 Business Log'!$K$3:$K$157,"Pending")))</f>
        <v>500000</v>
      </c>
      <c r="C8" s="80">
        <f>((SUMIFS('2023 Business Log'!$M$3:$M$157,'2023 Business Log'!$A$3:$A$157,A8,'2023 Business Log'!$D$3:$D$157,$C$4,'2023 Business Log'!$K$3:$K$157,"Pending"))+(SUMIFS('2023 Business Log'!$L$3:$L$157,'2023 Business Log'!$A$3:$A$157,A8,'2023 Business Log'!$D$3:$D$157,$C$4,'2023 Business Log'!$K$3:$K$157,"Pending")))</f>
        <v>125000</v>
      </c>
      <c r="D8" s="80">
        <f>((SUMIFS('2023 Business Log'!$M$3:$M$157,'2023 Business Log'!$A$3:$A$157,A8,'2023 Business Log'!$D$3:$D$157,$D$4,'2023 Business Log'!$K$3:$K$157,"Pending"))+(SUMIFS('2023 Business Log'!$L$3:$L$157,'2023 Business Log'!$A$3:$A$157,A8,'2023 Business Log'!$D$3:$D$157,$D$4,'2023 Business Log'!$K$3:$K$157,"Pending")))</f>
        <v>0</v>
      </c>
      <c r="E8" s="84">
        <f>((SUMIFS('2023 Business Log'!$M$3:$M$157,'2023 Business Log'!$A$3:$A$157,A8,'2023 Business Log'!$D$3:$D$157,$E$4,'2023 Business Log'!$K$3:$K$157,"Pending"))+(SUMIFS('2023 Business Log'!$L$3:$L$157,'2023 Business Log'!$A$3:$A$157,A8,'2023 Business Log'!$D$3:$D$157,$E$4,'2023 Business Log'!$K$3:$K$157,"Pending")))</f>
        <v>0</v>
      </c>
      <c r="F8" s="232">
        <f t="shared" si="0"/>
        <v>625000</v>
      </c>
      <c r="G8" s="19">
        <f>((SUMIFS('2023 Business Log'!$M$3:$M$157,'2023 Business Log'!$A$3:$A$157,A8,'2023 Business Log'!$T$3:$T$157,$G$4,'2023 Business Log'!$K$3:$K$157,"Pending"))+(SUMIFS('2023 Business Log'!$L$3:$L$157,'2023 Business Log'!$A$3:$A$157,A8,'2023 Business Log'!$T$3:$T$157,$G$4,'2023 Business Log'!$K$3:$K$157,"Pending")))</f>
        <v>0</v>
      </c>
      <c r="H8" s="20">
        <f>((SUMIFS('2023 Business Log'!$M$3:$M$157,'2023 Business Log'!$A$3:$A$157,A8,'2023 Business Log'!$T$3:$T$157,$H$4,'2023 Business Log'!$K$3:$K$157,"Pending"))+(SUMIFS('2023 Business Log'!$L$3:$L$157,'2023 Business Log'!$A$3:$A$157,A8,'2023 Business Log'!$T$3:$T$157,$H$4,'2023 Business Log'!$K$3:$K$157,"Pending")))</f>
        <v>0</v>
      </c>
      <c r="I8" s="20">
        <f>((SUMIFS('2023 Business Log'!$M$3:$M$157,'2023 Business Log'!$A$3:$A$157,A8,'2023 Business Log'!$T$3:$T$157,$I$4,'2023 Business Log'!$K$3:$K$157,"Pending"))+(SUMIFS('2023 Business Log'!$L$3:$L$157,'2023 Business Log'!$A$3:$A$157,A8,'2023 Business Log'!$T$3:$T$157,$I$4,'2023 Business Log'!$K$3:$K$157,"Pending")))</f>
        <v>500000</v>
      </c>
      <c r="J8" s="20">
        <f>((SUMIFS('2023 Business Log'!$M$3:$M$157,'2023 Business Log'!$A$3:$A$157,A8,'2023 Business Log'!$T$3:$T$157,$J$4,'2023 Business Log'!$K$3:$K$157,"Pending"))+(SUMIFS('2023 Business Log'!$L$3:$L$157,'2023 Business Log'!$A$3:$A$157,A8,'2023 Business Log'!$T$3:$T$157,$J$4,'2023 Business Log'!$K$3:$K$157,"Pending")))</f>
        <v>125000</v>
      </c>
      <c r="K8" s="24">
        <f>((SUMIFS('2023 Business Log'!$M$3:$M$157,'2023 Business Log'!$A$3:$A$157,A8,'2023 Business Log'!$T$3:$T$157,$K$4,'2023 Business Log'!$K$3:$K$157,"Pending"))+(SUMIFS('2023 Business Log'!$L$3:$L$157,'2023 Business Log'!$A$3:$A$157,A8,'2023 Business Log'!$T$3:$T$157,$K$4,'2023 Business Log'!$K$3:$K$157,"Pending")))</f>
        <v>0</v>
      </c>
      <c r="M8" s="331" t="s">
        <v>57</v>
      </c>
      <c r="N8" s="331"/>
      <c r="O8" s="331"/>
      <c r="P8" s="98">
        <f ca="1">YEARFRAC(T2,T1,1)</f>
        <v>0.48219178082191783</v>
      </c>
      <c r="Q8" s="7">
        <f ca="1">M5*P8</f>
        <v>12054794.520547945</v>
      </c>
    </row>
    <row r="9" spans="1:20" ht="16" x14ac:dyDescent="0.2">
      <c r="A9" s="3">
        <f>'Data Source'!B10</f>
        <v>0</v>
      </c>
      <c r="B9" s="83">
        <f>((SUMIFS('2023 Business Log'!$M$3:$M$157,'2023 Business Log'!$A$3:$A$157,A9,'2023 Business Log'!$D$3:$D$157,$B$4,'2023 Business Log'!$K$3:$K$157,"Pending"))+(SUMIFS('2023 Business Log'!$L$3:$L$157,'2023 Business Log'!$A$3:$A$157,A9,'2023 Business Log'!$D$3:$D$157,$B$4,'2023 Business Log'!$K$3:$K$157,"Pending")))</f>
        <v>0</v>
      </c>
      <c r="C9" s="80">
        <f>((SUMIFS('2023 Business Log'!$M$3:$M$157,'2023 Business Log'!$A$3:$A$157,A9,'2023 Business Log'!$D$3:$D$157,$C$4,'2023 Business Log'!$K$3:$K$157,"Pending"))+(SUMIFS('2023 Business Log'!$L$3:$L$157,'2023 Business Log'!$A$3:$A$157,A9,'2023 Business Log'!$D$3:$D$157,$C$4,'2023 Business Log'!$K$3:$K$157,"Pending")))</f>
        <v>0</v>
      </c>
      <c r="D9" s="80">
        <f>((SUMIFS('2023 Business Log'!$M$3:$M$157,'2023 Business Log'!$A$3:$A$157,A9,'2023 Business Log'!$D$3:$D$157,$D$4,'2023 Business Log'!$K$3:$K$157,"Pending"))+(SUMIFS('2023 Business Log'!$L$3:$L$157,'2023 Business Log'!$A$3:$A$157,A9,'2023 Business Log'!$D$3:$D$157,$D$4,'2023 Business Log'!$K$3:$K$157,"Pending")))</f>
        <v>0</v>
      </c>
      <c r="E9" s="84">
        <f>((SUMIFS('2023 Business Log'!$M$3:$M$157,'2023 Business Log'!$A$3:$A$157,A9,'2023 Business Log'!$D$3:$D$157,$E$4,'2023 Business Log'!$K$3:$K$157,"Pending"))+(SUMIFS('2023 Business Log'!$L$3:$L$157,'2023 Business Log'!$A$3:$A$157,A9,'2023 Business Log'!$D$3:$D$157,$E$4,'2023 Business Log'!$K$3:$K$157,"Pending")))</f>
        <v>0</v>
      </c>
      <c r="F9" s="232">
        <f t="shared" si="0"/>
        <v>0</v>
      </c>
      <c r="G9" s="19">
        <f>((SUMIFS('2023 Business Log'!$M$3:$M$157,'2023 Business Log'!$A$3:$A$157,A9,'2023 Business Log'!$T$3:$T$157,$G$4,'2023 Business Log'!$K$3:$K$157,"Pending"))+(SUMIFS('2023 Business Log'!$L$3:$L$157,'2023 Business Log'!$A$3:$A$157,A9,'2023 Business Log'!$T$3:$T$157,$G$4,'2023 Business Log'!$K$3:$K$157,"Pending")))</f>
        <v>0</v>
      </c>
      <c r="H9" s="20">
        <f>((SUMIFS('2023 Business Log'!$M$3:$M$157,'2023 Business Log'!$A$3:$A$157,A9,'2023 Business Log'!$T$3:$T$157,$H$4,'2023 Business Log'!$K$3:$K$157,"Pending"))+(SUMIFS('2023 Business Log'!$L$3:$L$157,'2023 Business Log'!$A$3:$A$157,A9,'2023 Business Log'!$T$3:$T$157,$H$4,'2023 Business Log'!$K$3:$K$157,"Pending")))</f>
        <v>0</v>
      </c>
      <c r="I9" s="20">
        <f>((SUMIFS('2023 Business Log'!$M$3:$M$157,'2023 Business Log'!$A$3:$A$157,A9,'2023 Business Log'!$T$3:$T$157,$I$4,'2023 Business Log'!$K$3:$K$157,"Pending"))+(SUMIFS('2023 Business Log'!$L$3:$L$157,'2023 Business Log'!$A$3:$A$157,A9,'2023 Business Log'!$T$3:$T$157,$I$4,'2023 Business Log'!$K$3:$K$157,"Pending")))</f>
        <v>0</v>
      </c>
      <c r="J9" s="20">
        <f>((SUMIFS('2023 Business Log'!$M$3:$M$157,'2023 Business Log'!$A$3:$A$157,A9,'2023 Business Log'!$T$3:$T$157,$J$4,'2023 Business Log'!$K$3:$K$157,"Pending"))+(SUMIFS('2023 Business Log'!$L$3:$L$157,'2023 Business Log'!$A$3:$A$157,A9,'2023 Business Log'!$T$3:$T$157,$J$4,'2023 Business Log'!$K$3:$K$157,"Pending")))</f>
        <v>0</v>
      </c>
      <c r="K9" s="24">
        <f>((SUMIFS('2023 Business Log'!$M$3:$M$157,'2023 Business Log'!$A$3:$A$157,A9,'2023 Business Log'!$T$3:$T$157,$K$4,'2023 Business Log'!$K$3:$K$157,"Pending"))+(SUMIFS('2023 Business Log'!$L$3:$L$157,'2023 Business Log'!$A$3:$A$157,A9,'2023 Business Log'!$T$3:$T$157,$K$4,'2023 Business Log'!$K$3:$K$157,"Pending")))</f>
        <v>0</v>
      </c>
      <c r="M9" s="331" t="s">
        <v>58</v>
      </c>
      <c r="N9" s="331"/>
      <c r="O9" s="331"/>
      <c r="P9" s="8">
        <f>$Q$9/$M$5</f>
        <v>0.34622521000000001</v>
      </c>
      <c r="Q9" s="7">
        <f>F12+F24-K24</f>
        <v>8655630.25</v>
      </c>
    </row>
    <row r="10" spans="1:20" ht="16" x14ac:dyDescent="0.2">
      <c r="A10" s="3">
        <f>'Data Source'!B11</f>
        <v>0</v>
      </c>
      <c r="B10" s="83">
        <f>((SUMIFS('2023 Business Log'!$M$3:$M$157,'2023 Business Log'!$A$3:$A$157,A10,'2023 Business Log'!$D$3:$D$157,$B$4,'2023 Business Log'!$K$3:$K$157,"Pending"))+(SUMIFS('2023 Business Log'!$L$3:$L$157,'2023 Business Log'!$A$3:$A$157,A10,'2023 Business Log'!$D$3:$D$157,$B$4,'2023 Business Log'!$K$3:$K$157,"Pending")))</f>
        <v>0</v>
      </c>
      <c r="C10" s="80">
        <f>((SUMIFS('2023 Business Log'!$M$3:$M$157,'2023 Business Log'!$A$3:$A$157,A10,'2023 Business Log'!$D$3:$D$157,$C$4,'2023 Business Log'!$K$3:$K$157,"Pending"))+(SUMIFS('2023 Business Log'!$L$3:$L$157,'2023 Business Log'!$A$3:$A$157,A10,'2023 Business Log'!$D$3:$D$157,$C$4,'2023 Business Log'!$K$3:$K$157,"Pending")))</f>
        <v>0</v>
      </c>
      <c r="D10" s="80">
        <f>((SUMIFS('2023 Business Log'!$M$3:$M$157,'2023 Business Log'!$A$3:$A$157,A10,'2023 Business Log'!$D$3:$D$157,$D$4,'2023 Business Log'!$K$3:$K$157,"Pending"))+(SUMIFS('2023 Business Log'!$L$3:$L$157,'2023 Business Log'!$A$3:$A$157,A10,'2023 Business Log'!$D$3:$D$157,$D$4,'2023 Business Log'!$K$3:$K$157,"Pending")))</f>
        <v>0</v>
      </c>
      <c r="E10" s="84">
        <f>((SUMIFS('2023 Business Log'!$M$3:$M$157,'2023 Business Log'!$A$3:$A$157,A10,'2023 Business Log'!$D$3:$D$157,$E$4,'2023 Business Log'!$K$3:$K$157,"Pending"))+(SUMIFS('2023 Business Log'!$L$3:$L$157,'2023 Business Log'!$A$3:$A$157,A10,'2023 Business Log'!$D$3:$D$157,$E$4,'2023 Business Log'!$K$3:$K$157,"Pending")))</f>
        <v>0</v>
      </c>
      <c r="F10" s="232">
        <f t="shared" si="0"/>
        <v>0</v>
      </c>
      <c r="G10" s="19">
        <f>((SUMIFS('2023 Business Log'!$M$3:$M$157,'2023 Business Log'!$A$3:$A$157,A10,'2023 Business Log'!$T$3:$T$157,$G$4,'2023 Business Log'!$K$3:$K$157,"Pending"))+(SUMIFS('2023 Business Log'!$L$3:$L$157,'2023 Business Log'!$A$3:$A$157,A10,'2023 Business Log'!$T$3:$T$157,$G$4,'2023 Business Log'!$K$3:$K$157,"Pending")))</f>
        <v>0</v>
      </c>
      <c r="H10" s="20">
        <f>((SUMIFS('2023 Business Log'!$M$3:$M$157,'2023 Business Log'!$A$3:$A$157,A10,'2023 Business Log'!$T$3:$T$157,$H$4,'2023 Business Log'!$K$3:$K$157,"Pending"))+(SUMIFS('2023 Business Log'!$L$3:$L$157,'2023 Business Log'!$A$3:$A$157,A10,'2023 Business Log'!$T$3:$T$157,$H$4,'2023 Business Log'!$K$3:$K$157,"Pending")))</f>
        <v>0</v>
      </c>
      <c r="I10" s="20">
        <f>((SUMIFS('2023 Business Log'!$M$3:$M$157,'2023 Business Log'!$A$3:$A$157,A10,'2023 Business Log'!$T$3:$T$157,$I$4,'2023 Business Log'!$K$3:$K$157,"Pending"))+(SUMIFS('2023 Business Log'!$L$3:$L$157,'2023 Business Log'!$A$3:$A$157,A10,'2023 Business Log'!$T$3:$T$157,$I$4,'2023 Business Log'!$K$3:$K$157,"Pending")))</f>
        <v>0</v>
      </c>
      <c r="J10" s="20">
        <f>((SUMIFS('2023 Business Log'!$M$3:$M$157,'2023 Business Log'!$A$3:$A$157,A10,'2023 Business Log'!$T$3:$T$157,$J$4,'2023 Business Log'!$K$3:$K$157,"Pending"))+(SUMIFS('2023 Business Log'!$L$3:$L$157,'2023 Business Log'!$A$3:$A$157,A10,'2023 Business Log'!$T$3:$T$157,$J$4,'2023 Business Log'!$K$3:$K$157,"Pending")))</f>
        <v>0</v>
      </c>
      <c r="K10" s="24">
        <f>((SUMIFS('2023 Business Log'!$M$3:$M$157,'2023 Business Log'!$A$3:$A$157,A10,'2023 Business Log'!$T$3:$T$157,$K$4,'2023 Business Log'!$K$3:$K$157,"Pending"))+(SUMIFS('2023 Business Log'!$L$3:$L$157,'2023 Business Log'!$A$3:$A$157,A10,'2023 Business Log'!$T$3:$T$157,$K$4,'2023 Business Log'!$K$3:$K$157,"Pending")))</f>
        <v>0</v>
      </c>
      <c r="M10" s="331" t="s">
        <v>59</v>
      </c>
      <c r="N10" s="331"/>
      <c r="O10" s="331"/>
      <c r="P10" s="6">
        <f ca="1">(Q9/Q8)-1</f>
        <v>-0.28197612698863639</v>
      </c>
      <c r="Q10" s="9">
        <f ca="1">Q9-Q8</f>
        <v>-3399164.2705479451</v>
      </c>
    </row>
    <row r="11" spans="1:20" ht="17" thickBot="1" x14ac:dyDescent="0.25">
      <c r="A11" s="3">
        <f>'Data Source'!B12</f>
        <v>0</v>
      </c>
      <c r="B11" s="87">
        <f>((SUMIFS('2023 Business Log'!$M$3:$M$157,'2023 Business Log'!$A$3:$A$157,A11,'2023 Business Log'!$D$3:$D$157,$B$4,'2023 Business Log'!$K$3:$K$157,"Pending"))+(SUMIFS('2023 Business Log'!$L$3:$L$157,'2023 Business Log'!$A$3:$A$157,A11,'2023 Business Log'!$D$3:$D$157,$B$4,'2023 Business Log'!$K$3:$K$157,"Pending")))</f>
        <v>0</v>
      </c>
      <c r="C11" s="88">
        <f>((SUMIFS('2023 Business Log'!$M$3:$M$157,'2023 Business Log'!$A$3:$A$157,A11,'2023 Business Log'!$D$3:$D$157,$C$4,'2023 Business Log'!$K$3:$K$157,"Pending"))+(SUMIFS('2023 Business Log'!$L$3:$L$157,'2023 Business Log'!$A$3:$A$157,A11,'2023 Business Log'!$D$3:$D$157,$C$4,'2023 Business Log'!$K$3:$K$157,"Pending")))</f>
        <v>0</v>
      </c>
      <c r="D11" s="88">
        <f>((SUMIFS('2023 Business Log'!$M$3:$M$157,'2023 Business Log'!$A$3:$A$157,A11,'2023 Business Log'!$D$3:$D$157,$D$4,'2023 Business Log'!$K$3:$K$157,"Pending"))+(SUMIFS('2023 Business Log'!$L$3:$L$157,'2023 Business Log'!$A$3:$A$157,A11,'2023 Business Log'!$D$3:$D$157,$D$4,'2023 Business Log'!$K$3:$K$157,"Pending")))</f>
        <v>0</v>
      </c>
      <c r="E11" s="90">
        <f>((SUMIFS('2023 Business Log'!$M$3:$M$157,'2023 Business Log'!$A$3:$A$157,A11,'2023 Business Log'!$D$3:$D$157,$E$4,'2023 Business Log'!$K$3:$K$157,"Pending"))+(SUMIFS('2023 Business Log'!$L$3:$L$157,'2023 Business Log'!$A$3:$A$157,A11,'2023 Business Log'!$D$3:$D$157,$E$4,'2023 Business Log'!$K$3:$K$157,"Pending")))</f>
        <v>0</v>
      </c>
      <c r="F11" s="233">
        <f t="shared" si="0"/>
        <v>0</v>
      </c>
      <c r="G11" s="25">
        <f>((SUMIFS('2023 Business Log'!$M$3:$M$157,'2023 Business Log'!$A$3:$A$157,A11,'2023 Business Log'!$T$3:$T$157,$G$4,'2023 Business Log'!$K$3:$K$157,"Pending"))+(SUMIFS('2023 Business Log'!$L$3:$L$157,'2023 Business Log'!$A$3:$A$157,A11,'2023 Business Log'!$T$3:$T$157,$G$4,'2023 Business Log'!$K$3:$K$157,"Pending")))</f>
        <v>0</v>
      </c>
      <c r="H11" s="26">
        <f>((SUMIFS('2023 Business Log'!$M$3:$M$157,'2023 Business Log'!$A$3:$A$157,A11,'2023 Business Log'!$T$3:$T$157,$H$4,'2023 Business Log'!$K$3:$K$157,"Pending"))+(SUMIFS('2023 Business Log'!$L$3:$L$157,'2023 Business Log'!$A$3:$A$157,A11,'2023 Business Log'!$T$3:$T$157,$H$4,'2023 Business Log'!$K$3:$K$157,"Pending")))</f>
        <v>0</v>
      </c>
      <c r="I11" s="26">
        <f>((SUMIFS('2023 Business Log'!$M$3:$M$157,'2023 Business Log'!$A$3:$A$157,A11,'2023 Business Log'!$T$3:$T$157,$I$4,'2023 Business Log'!$K$3:$K$157,"Pending"))+(SUMIFS('2023 Business Log'!$L$3:$L$157,'2023 Business Log'!$A$3:$A$157,A11,'2023 Business Log'!$T$3:$T$157,$I$4,'2023 Business Log'!$K$3:$K$157,"Pending")))</f>
        <v>0</v>
      </c>
      <c r="J11" s="26">
        <f>((SUMIFS('2023 Business Log'!$M$3:$M$157,'2023 Business Log'!$A$3:$A$157,A11,'2023 Business Log'!$T$3:$T$157,$J$4,'2023 Business Log'!$K$3:$K$157,"Pending"))+(SUMIFS('2023 Business Log'!$L$3:$L$157,'2023 Business Log'!$A$3:$A$157,A11,'2023 Business Log'!$T$3:$T$157,$J$4,'2023 Business Log'!$K$3:$K$157,"Pending")))</f>
        <v>0</v>
      </c>
      <c r="K11" s="27">
        <f>((SUMIFS('2023 Business Log'!$M$3:$M$157,'2023 Business Log'!$A$3:$A$157,A11,'2023 Business Log'!$T$3:$T$157,$K$4,'2023 Business Log'!$K$3:$K$157,"Pending"))+(SUMIFS('2023 Business Log'!$L$3:$L$157,'2023 Business Log'!$A$3:$A$157,A11,'2023 Business Log'!$T$3:$T$157,$K$4,'2023 Business Log'!$K$3:$K$157,"Pending")))</f>
        <v>0</v>
      </c>
    </row>
    <row r="12" spans="1:20" ht="17" thickBot="1" x14ac:dyDescent="0.25">
      <c r="A12" s="5" t="s">
        <v>34</v>
      </c>
      <c r="B12" s="28">
        <f>SUM(B5:B8)</f>
        <v>1050000</v>
      </c>
      <c r="C12" s="29">
        <f>SUM(C5:C8)</f>
        <v>975000</v>
      </c>
      <c r="D12" s="29">
        <f>SUM(D5:D8)</f>
        <v>15000</v>
      </c>
      <c r="E12" s="29">
        <f>SUM(E5:E8)</f>
        <v>500</v>
      </c>
      <c r="F12" s="72">
        <f t="shared" si="0"/>
        <v>2040500</v>
      </c>
      <c r="G12" s="29">
        <f>SUM(G5:G8)</f>
        <v>0</v>
      </c>
      <c r="H12" s="29">
        <f>SUM(H5:H8)</f>
        <v>15000</v>
      </c>
      <c r="I12" s="29">
        <f>SUM(I5:I8)</f>
        <v>500500</v>
      </c>
      <c r="J12" s="37">
        <f>SUM(J5:J8)</f>
        <v>1525000</v>
      </c>
      <c r="K12" s="38">
        <f>SUM(K5:K8)</f>
        <v>0</v>
      </c>
    </row>
    <row r="13" spans="1:20" ht="16" thickBot="1" x14ac:dyDescent="0.25"/>
    <row r="14" spans="1:20" ht="26" thickBot="1" x14ac:dyDescent="0.3">
      <c r="A14" s="306" t="s">
        <v>212</v>
      </c>
      <c r="B14" s="307"/>
      <c r="C14" s="307"/>
      <c r="D14" s="307"/>
      <c r="E14" s="307"/>
      <c r="F14" s="307"/>
      <c r="G14" s="307"/>
      <c r="H14" s="307"/>
      <c r="I14" s="307"/>
      <c r="J14" s="307"/>
      <c r="K14" s="308"/>
    </row>
    <row r="15" spans="1:20" ht="21" thickBot="1" x14ac:dyDescent="0.25">
      <c r="A15" s="309" t="s">
        <v>30</v>
      </c>
      <c r="B15" s="311" t="s">
        <v>21</v>
      </c>
      <c r="C15" s="312"/>
      <c r="D15" s="312"/>
      <c r="E15" s="312"/>
      <c r="F15" s="313"/>
      <c r="G15" s="311" t="s">
        <v>22</v>
      </c>
      <c r="H15" s="312"/>
      <c r="I15" s="312"/>
      <c r="J15" s="312"/>
      <c r="K15" s="313"/>
    </row>
    <row r="16" spans="1:20" ht="16" thickBot="1" x14ac:dyDescent="0.25">
      <c r="A16" s="310"/>
      <c r="B16" s="11" t="str">
        <f>'Data Source'!A6</f>
        <v>Annuity</v>
      </c>
      <c r="C16" s="12" t="str">
        <f>'Data Source'!A7</f>
        <v>AUM</v>
      </c>
      <c r="D16" s="12" t="str">
        <f>'Data Source'!A8</f>
        <v>Life</v>
      </c>
      <c r="E16" s="12" t="str">
        <f>'Data Source'!A9</f>
        <v>Med Supp</v>
      </c>
      <c r="F16" s="89" t="s">
        <v>25</v>
      </c>
      <c r="G16" s="35" t="str">
        <f>'Data Source'!E6</f>
        <v>Q1</v>
      </c>
      <c r="H16" s="14" t="str">
        <f>'Data Source'!E7</f>
        <v>Q2</v>
      </c>
      <c r="I16" s="14" t="str">
        <f>'Data Source'!E8</f>
        <v>Q3</v>
      </c>
      <c r="J16" s="14" t="str">
        <f>'Data Source'!E9</f>
        <v>Q4</v>
      </c>
      <c r="K16" s="36" t="str">
        <f>'Data Source'!E10</f>
        <v>Prior Yr</v>
      </c>
    </row>
    <row r="17" spans="1:12" x14ac:dyDescent="0.2">
      <c r="A17" s="3" t="str">
        <f>'Data Source'!B6</f>
        <v>Chris</v>
      </c>
      <c r="B17" s="21">
        <f>(SUMIFS('2023 Business Log'!$N$3:$N$157,'2023 Business Log'!$A$3:$A$157,A17,'2023 Business Log'!$D$3:$D$157,$B$16,'2023 Business Log'!$K$3:$K$157,"Issued"))</f>
        <v>510000</v>
      </c>
      <c r="C17" s="22">
        <f>(SUMIFS('2023 Business Log'!$N$3:$N$157,'2023 Business Log'!$A$3:$A$157,A17,'2023 Business Log'!$D$3:$D$157,$C$16,'2023 Business Log'!$K$3:$K$157,"Issued"))</f>
        <v>800000</v>
      </c>
      <c r="D17" s="22">
        <f>(SUMIFS('2023 Business Log'!$N$3:$N$157,'2023 Business Log'!$A$3:$A$157,A17,'2023 Business Log'!$D$3:$D$157,$D$16,'2023 Business Log'!$K$3:$K$157,"Issued"))</f>
        <v>15125</v>
      </c>
      <c r="E17" s="22">
        <f>(SUMIFS('2023 Business Log'!$N$3:$N$157,'2023 Business Log'!$A$3:$A$157,A17,'2023 Business Log'!$D$3:$D$157,$E$16,'2023 Business Log'!$K$3:$K$157,"Issued"))</f>
        <v>505.25</v>
      </c>
      <c r="F17" s="73">
        <f t="shared" ref="F17" si="1">SUM(B17:E17)</f>
        <v>1325630.25</v>
      </c>
      <c r="G17" s="22">
        <f>((SUMIFS('2023 Business Log'!$N$3:$N$157,'2023 Business Log'!$A$3:$A$157,A17,'2023 Business Log'!$T$3:$T$157,$G$16,'2023 Business Log'!$K$3:$K$157,"Issued")))</f>
        <v>285000</v>
      </c>
      <c r="H17" s="22">
        <f>((SUMIFS('2023 Business Log'!$N$3:$N$157,'2023 Business Log'!$A$3:$A$157,A17,'2023 Business Log'!$T$3:$T$157,$H$16,'2023 Business Log'!$K$3:$K$157,"Issued")))</f>
        <v>140125</v>
      </c>
      <c r="I17" s="22">
        <f>((SUMIFS('2023 Business Log'!$N$3:$N$157,'2023 Business Log'!$A$3:$A$157,A17,'2023 Business Log'!$T$3:$T$157,$I$16,'2023 Business Log'!$K$3:$K$157,"Issued")))</f>
        <v>100505.25</v>
      </c>
      <c r="J17" s="22">
        <f>((SUMIFS('2023 Business Log'!$N$3:$N$157,'2023 Business Log'!$A$3:$A$157,A17,'2023 Business Log'!$T$3:$T$157,$J$16,'2023 Business Log'!$K$3:$K$157,"Issued")))</f>
        <v>0</v>
      </c>
      <c r="K17" s="23">
        <f>((SUMIFS('2023 Business Log'!$N$3:$N$157,'2023 Business Log'!$A$3:$A$157,A17,'2023 Business Log'!$T$3:$T$157,$K$16,'2023 Business Log'!$K$3:$K$157,"Issued")))</f>
        <v>800000</v>
      </c>
    </row>
    <row r="18" spans="1:12" x14ac:dyDescent="0.2">
      <c r="A18" s="3" t="str">
        <f>'Data Source'!B7</f>
        <v>John</v>
      </c>
      <c r="B18" s="19">
        <f>(SUMIFS('2023 Business Log'!$N$3:$N$157,'2023 Business Log'!$A$3:$A$157,A18,'2023 Business Log'!$D$3:$D$157,$B$16,'2023 Business Log'!$K$3:$K$157,"Issued"))</f>
        <v>100000</v>
      </c>
      <c r="C18" s="20">
        <f>(SUMIFS('2023 Business Log'!$N$3:$N$157,'2023 Business Log'!$A$3:$A$157,A18,'2023 Business Log'!$D$3:$D$157,$C$16,'2023 Business Log'!$K$3:$K$157,"Issued"))</f>
        <v>0</v>
      </c>
      <c r="D18" s="20">
        <f>(SUMIFS('2023 Business Log'!$N$3:$N$157,'2023 Business Log'!$A$3:$A$157,A18,'2023 Business Log'!$D$3:$D$157,$D$16,'2023 Business Log'!$K$3:$K$157,"Issued"))</f>
        <v>73000</v>
      </c>
      <c r="E18" s="20">
        <f>(SUMIFS('2023 Business Log'!$N$3:$N$157,'2023 Business Log'!$A$3:$A$157,A18,'2023 Business Log'!$D$3:$D$157,$E$16,'2023 Business Log'!$K$3:$K$157,"Issued"))</f>
        <v>0</v>
      </c>
      <c r="F18" s="43">
        <f t="shared" ref="F18:F23" si="2">SUM(B18:E18)</f>
        <v>173000</v>
      </c>
      <c r="G18" s="20">
        <f>((SUMIFS('2023 Business Log'!$N$3:$N$157,'2023 Business Log'!$A$3:$A$157,A18,'2023 Business Log'!$T$3:$T$157,$G$16,'2023 Business Log'!$K$3:$K$157,"Issued")))</f>
        <v>125000</v>
      </c>
      <c r="H18" s="20">
        <f>((SUMIFS('2023 Business Log'!$N$3:$N$157,'2023 Business Log'!$A$3:$A$157,A18,'2023 Business Log'!$T$3:$T$157,$H$16,'2023 Business Log'!$K$3:$K$157,"Issued")))</f>
        <v>20000</v>
      </c>
      <c r="I18" s="20">
        <f>((SUMIFS('2023 Business Log'!$N$3:$N$157,'2023 Business Log'!$A$3:$A$157,A18,'2023 Business Log'!$T$3:$T$157,$I$16,'2023 Business Log'!$K$3:$K$157,"Issued")))</f>
        <v>0</v>
      </c>
      <c r="J18" s="20">
        <f>((SUMIFS('2023 Business Log'!$N$3:$N$157,'2023 Business Log'!$A$3:$A$157,A18,'2023 Business Log'!$T$3:$T$157,$J$16,'2023 Business Log'!$K$3:$K$157,"Issued")))</f>
        <v>28000</v>
      </c>
      <c r="K18" s="24">
        <f>((SUMIFS('2023 Business Log'!$N$3:$N$157,'2023 Business Log'!$A$3:$A$157,A18,'2023 Business Log'!$T$3:$T$157,$K$16,'2023 Business Log'!$K$3:$K$157,"Issued")))</f>
        <v>0</v>
      </c>
    </row>
    <row r="19" spans="1:12" x14ac:dyDescent="0.2">
      <c r="A19" s="3" t="str">
        <f>'Data Source'!B8</f>
        <v>Mark</v>
      </c>
      <c r="B19" s="19">
        <f>(SUMIFS('2023 Business Log'!$N$3:$N$157,'2023 Business Log'!$A$3:$A$157,A19,'2023 Business Log'!$D$3:$D$157,$B$16,'2023 Business Log'!$K$3:$K$157,"Issued"))</f>
        <v>700000</v>
      </c>
      <c r="C19" s="20">
        <f>(SUMIFS('2023 Business Log'!$N$3:$N$157,'2023 Business Log'!$A$3:$A$157,A19,'2023 Business Log'!$D$3:$D$157,$C$16,'2023 Business Log'!$K$3:$K$157,"Issued"))</f>
        <v>1575000</v>
      </c>
      <c r="D19" s="20">
        <f>(SUMIFS('2023 Business Log'!$N$3:$N$157,'2023 Business Log'!$A$3:$A$157,A19,'2023 Business Log'!$D$3:$D$157,$D$16,'2023 Business Log'!$K$3:$K$157,"Issued"))</f>
        <v>0</v>
      </c>
      <c r="E19" s="20">
        <f>(SUMIFS('2023 Business Log'!$N$3:$N$157,'2023 Business Log'!$A$3:$A$157,A19,'2023 Business Log'!$D$3:$D$157,$E$16,'2023 Business Log'!$K$3:$K$157,"Issued"))</f>
        <v>0</v>
      </c>
      <c r="F19" s="43">
        <f t="shared" si="2"/>
        <v>2275000</v>
      </c>
      <c r="G19" s="20">
        <f>((SUMIFS('2023 Business Log'!$N$3:$N$157,'2023 Business Log'!$A$3:$A$157,A19,'2023 Business Log'!$T$3:$T$157,$G$16,'2023 Business Log'!$K$3:$K$157,"Issued")))</f>
        <v>0</v>
      </c>
      <c r="H19" s="20">
        <f>((SUMIFS('2023 Business Log'!$N$3:$N$157,'2023 Business Log'!$A$3:$A$157,A19,'2023 Business Log'!$T$3:$T$157,$H$16,'2023 Business Log'!$K$3:$K$157,"Issued")))</f>
        <v>500000</v>
      </c>
      <c r="I19" s="20">
        <f>((SUMIFS('2023 Business Log'!$N$3:$N$157,'2023 Business Log'!$A$3:$A$157,A19,'2023 Business Log'!$T$3:$T$157,$I$16,'2023 Business Log'!$K$3:$K$157,"Issued")))</f>
        <v>675000</v>
      </c>
      <c r="J19" s="20">
        <f>((SUMIFS('2023 Business Log'!$N$3:$N$157,'2023 Business Log'!$A$3:$A$157,A19,'2023 Business Log'!$T$3:$T$157,$J$16,'2023 Business Log'!$K$3:$K$157,"Issued")))</f>
        <v>1050000</v>
      </c>
      <c r="K19" s="24">
        <f>((SUMIFS('2023 Business Log'!$N$3:$N$157,'2023 Business Log'!$A$3:$A$157,A19,'2023 Business Log'!$T$3:$T$157,$K$16,'2023 Business Log'!$K$3:$K$157,"Issued")))</f>
        <v>50000</v>
      </c>
    </row>
    <row r="20" spans="1:12" x14ac:dyDescent="0.2">
      <c r="A20" s="3" t="str">
        <f>'Data Source'!B9</f>
        <v>Mike</v>
      </c>
      <c r="B20" s="19">
        <f>(SUMIFS('2023 Business Log'!$N$3:$N$157,'2023 Business Log'!$A$3:$A$157,A20,'2023 Business Log'!$D$3:$D$157,$B$16,'2023 Business Log'!$K$3:$K$157,"Issued"))</f>
        <v>2031000</v>
      </c>
      <c r="C20" s="20">
        <f>(SUMIFS('2023 Business Log'!$N$3:$N$157,'2023 Business Log'!$A$3:$A$157,A20,'2023 Business Log'!$D$3:$D$157,$C$16,'2023 Business Log'!$K$3:$K$157,"Issued"))</f>
        <v>2130000</v>
      </c>
      <c r="D20" s="20">
        <f>(SUMIFS('2023 Business Log'!$N$3:$N$157,'2023 Business Log'!$A$3:$A$157,A20,'2023 Business Log'!$D$3:$D$157,$D$16,'2023 Business Log'!$K$3:$K$157,"Issued"))</f>
        <v>30000</v>
      </c>
      <c r="E20" s="20">
        <f>(SUMIFS('2023 Business Log'!$N$3:$N$157,'2023 Business Log'!$A$3:$A$157,A20,'2023 Business Log'!$D$3:$D$157,$E$16,'2023 Business Log'!$K$3:$K$157,"Issued"))</f>
        <v>500</v>
      </c>
      <c r="F20" s="43">
        <f t="shared" si="2"/>
        <v>4191500</v>
      </c>
      <c r="G20" s="20">
        <f>((SUMIFS('2023 Business Log'!$N$3:$N$157,'2023 Business Log'!$A$3:$A$157,A20,'2023 Business Log'!$T$3:$T$157,$G$16,'2023 Business Log'!$K$3:$K$157,"Issued")))</f>
        <v>2410000</v>
      </c>
      <c r="H20" s="20">
        <f>((SUMIFS('2023 Business Log'!$N$3:$N$157,'2023 Business Log'!$A$3:$A$157,A20,'2023 Business Log'!$T$3:$T$157,$H$16,'2023 Business Log'!$K$3:$K$157,"Issued")))</f>
        <v>300500</v>
      </c>
      <c r="I20" s="20">
        <f>((SUMIFS('2023 Business Log'!$N$3:$N$157,'2023 Business Log'!$A$3:$A$157,A20,'2023 Business Log'!$T$3:$T$157,$I$16,'2023 Business Log'!$K$3:$K$157,"Issued")))</f>
        <v>601000</v>
      </c>
      <c r="J20" s="20">
        <f>((SUMIFS('2023 Business Log'!$N$3:$N$157,'2023 Business Log'!$A$3:$A$157,A20,'2023 Business Log'!$T$3:$T$157,$J$16,'2023 Business Log'!$K$3:$K$157,"Issued")))</f>
        <v>380000</v>
      </c>
      <c r="K20" s="24">
        <f>((SUMIFS('2023 Business Log'!$N$3:$N$157,'2023 Business Log'!$A$3:$A$157,A20,'2023 Business Log'!$T$3:$T$157,$K$16,'2023 Business Log'!$K$3:$K$157,"Issued")))</f>
        <v>500000</v>
      </c>
    </row>
    <row r="21" spans="1:12" x14ac:dyDescent="0.2">
      <c r="A21" s="3">
        <f>'Data Source'!B10</f>
        <v>0</v>
      </c>
      <c r="B21" s="19">
        <f>(SUMIFS('2023 Business Log'!$N$3:$N$157,'2023 Business Log'!$A$3:$A$157,A21,'2023 Business Log'!$D$3:$D$157,$B$16,'2023 Business Log'!$K$3:$K$157,"Issued"))</f>
        <v>0</v>
      </c>
      <c r="C21" s="20">
        <f>(SUMIFS('2023 Business Log'!$N$3:$N$157,'2023 Business Log'!$A$3:$A$157,A21,'2023 Business Log'!$D$3:$D$157,$C$16,'2023 Business Log'!$K$3:$K$157,"Issued"))</f>
        <v>0</v>
      </c>
      <c r="D21" s="20">
        <f>(SUMIFS('2023 Business Log'!$N$3:$N$157,'2023 Business Log'!$A$3:$A$157,A21,'2023 Business Log'!$D$3:$D$157,$D$16,'2023 Business Log'!$K$3:$K$157,"Issued"))</f>
        <v>0</v>
      </c>
      <c r="E21" s="20">
        <f>(SUMIFS('2023 Business Log'!$N$3:$N$157,'2023 Business Log'!$A$3:$A$157,A21,'2023 Business Log'!$D$3:$D$157,$E$16,'2023 Business Log'!$K$3:$K$157,"Issued"))</f>
        <v>0</v>
      </c>
      <c r="F21" s="43">
        <f t="shared" si="2"/>
        <v>0</v>
      </c>
      <c r="G21" s="20">
        <f>((SUMIFS('2023 Business Log'!$N$3:$N$157,'2023 Business Log'!$A$3:$A$157,A21,'2023 Business Log'!$T$3:$T$157,$G$16,'2023 Business Log'!$K$3:$K$157,"Issued")))</f>
        <v>0</v>
      </c>
      <c r="H21" s="20">
        <f>((SUMIFS('2023 Business Log'!$N$3:$N$157,'2023 Business Log'!$A$3:$A$157,A21,'2023 Business Log'!$T$3:$T$157,$H$16,'2023 Business Log'!$K$3:$K$157,"Issued")))</f>
        <v>0</v>
      </c>
      <c r="I21" s="20">
        <f>((SUMIFS('2023 Business Log'!$N$3:$N$157,'2023 Business Log'!$A$3:$A$157,A21,'2023 Business Log'!$T$3:$T$157,$I$16,'2023 Business Log'!$K$3:$K$157,"Issued")))</f>
        <v>0</v>
      </c>
      <c r="J21" s="20">
        <f>((SUMIFS('2023 Business Log'!$N$3:$N$157,'2023 Business Log'!$A$3:$A$157,A21,'2023 Business Log'!$T$3:$T$157,$J$16,'2023 Business Log'!$K$3:$K$157,"Issued")))</f>
        <v>0</v>
      </c>
      <c r="K21" s="24">
        <f>((SUMIFS('2023 Business Log'!$N$3:$N$157,'2023 Business Log'!$A$3:$A$157,A21,'2023 Business Log'!$T$3:$T$157,$K$16,'2023 Business Log'!$K$3:$K$157,"Issued")))</f>
        <v>0</v>
      </c>
    </row>
    <row r="22" spans="1:12" x14ac:dyDescent="0.2">
      <c r="A22" s="3">
        <f>'Data Source'!B11</f>
        <v>0</v>
      </c>
      <c r="B22" s="19">
        <f>(SUMIFS('2023 Business Log'!$N$3:$N$157,'2023 Business Log'!$A$3:$A$157,A22,'2023 Business Log'!$D$3:$D$157,$B$16,'2023 Business Log'!$K$3:$K$157,"Issued"))</f>
        <v>0</v>
      </c>
      <c r="C22" s="20">
        <f>(SUMIFS('2023 Business Log'!$N$3:$N$157,'2023 Business Log'!$A$3:$A$157,A22,'2023 Business Log'!$D$3:$D$157,$C$16,'2023 Business Log'!$K$3:$K$157,"Issued"))</f>
        <v>0</v>
      </c>
      <c r="D22" s="20">
        <f>(SUMIFS('2023 Business Log'!$N$3:$N$157,'2023 Business Log'!$A$3:$A$157,A22,'2023 Business Log'!$D$3:$D$157,$D$16,'2023 Business Log'!$K$3:$K$157,"Issued"))</f>
        <v>0</v>
      </c>
      <c r="E22" s="20">
        <f>(SUMIFS('2023 Business Log'!$N$3:$N$157,'2023 Business Log'!$A$3:$A$157,A22,'2023 Business Log'!$D$3:$D$157,$E$16,'2023 Business Log'!$K$3:$K$157,"Issued"))</f>
        <v>0</v>
      </c>
      <c r="F22" s="43">
        <f t="shared" si="2"/>
        <v>0</v>
      </c>
      <c r="G22" s="20">
        <f>((SUMIFS('2023 Business Log'!$N$3:$N$157,'2023 Business Log'!$A$3:$A$157,A22,'2023 Business Log'!$T$3:$T$157,$G$16,'2023 Business Log'!$K$3:$K$157,"Issued")))</f>
        <v>0</v>
      </c>
      <c r="H22" s="20">
        <f>((SUMIFS('2023 Business Log'!$N$3:$N$157,'2023 Business Log'!$A$3:$A$157,A22,'2023 Business Log'!$T$3:$T$157,$H$16,'2023 Business Log'!$K$3:$K$157,"Issued")))</f>
        <v>0</v>
      </c>
      <c r="I22" s="20">
        <f>((SUMIFS('2023 Business Log'!$N$3:$N$157,'2023 Business Log'!$A$3:$A$157,A22,'2023 Business Log'!$T$3:$T$157,$I$16,'2023 Business Log'!$K$3:$K$157,"Issued")))</f>
        <v>0</v>
      </c>
      <c r="J22" s="20">
        <f>((SUMIFS('2023 Business Log'!$N$3:$N$157,'2023 Business Log'!$A$3:$A$157,A22,'2023 Business Log'!$T$3:$T$157,$J$16,'2023 Business Log'!$K$3:$K$157,"Issued")))</f>
        <v>0</v>
      </c>
      <c r="K22" s="24">
        <f>((SUMIFS('2023 Business Log'!$N$3:$N$157,'2023 Business Log'!$A$3:$A$157,A22,'2023 Business Log'!$T$3:$T$157,$K$16,'2023 Business Log'!$K$3:$K$157,"Issued")))</f>
        <v>0</v>
      </c>
    </row>
    <row r="23" spans="1:12" ht="16" thickBot="1" x14ac:dyDescent="0.25">
      <c r="A23" s="3">
        <f>'Data Source'!B12</f>
        <v>0</v>
      </c>
      <c r="B23" s="25">
        <f>(SUMIFS('2023 Business Log'!$N$3:$N$157,'2023 Business Log'!$A$3:$A$157,A23,'2023 Business Log'!$D$3:$D$157,$B$16,'2023 Business Log'!$K$3:$K$157,"Issued"))</f>
        <v>0</v>
      </c>
      <c r="C23" s="26">
        <f>(SUMIFS('2023 Business Log'!$N$3:$N$157,'2023 Business Log'!$A$3:$A$157,A23,'2023 Business Log'!$D$3:$D$157,$C$16,'2023 Business Log'!$K$3:$K$157,"Issued"))</f>
        <v>0</v>
      </c>
      <c r="D23" s="26">
        <f>(SUMIFS('2023 Business Log'!$N$3:$N$157,'2023 Business Log'!$A$3:$A$157,A23,'2023 Business Log'!$D$3:$D$157,$D$16,'2023 Business Log'!$K$3:$K$157,"Issued"))</f>
        <v>0</v>
      </c>
      <c r="E23" s="26">
        <f>(SUMIFS('2023 Business Log'!$N$3:$N$157,'2023 Business Log'!$A$3:$A$157,A23,'2023 Business Log'!$D$3:$D$157,$E$16,'2023 Business Log'!$K$3:$K$157,"Issued"))</f>
        <v>0</v>
      </c>
      <c r="F23" s="74">
        <f t="shared" si="2"/>
        <v>0</v>
      </c>
      <c r="G23" s="26">
        <f>((SUMIFS('2023 Business Log'!$N$3:$N$157,'2023 Business Log'!$A$3:$A$157,A23,'2023 Business Log'!$T$3:$T$157,$G$16,'2023 Business Log'!$K$3:$K$157,"Issued")))</f>
        <v>0</v>
      </c>
      <c r="H23" s="26">
        <f>((SUMIFS('2023 Business Log'!$N$3:$N$157,'2023 Business Log'!$A$3:$A$157,A23,'2023 Business Log'!$T$3:$T$157,$H$16,'2023 Business Log'!$K$3:$K$157,"Issued")))</f>
        <v>0</v>
      </c>
      <c r="I23" s="26">
        <f>((SUMIFS('2023 Business Log'!$N$3:$N$157,'2023 Business Log'!$A$3:$A$157,A23,'2023 Business Log'!$T$3:$T$157,$I$16,'2023 Business Log'!$K$3:$K$157,"Issued")))</f>
        <v>0</v>
      </c>
      <c r="J23" s="26">
        <f>((SUMIFS('2023 Business Log'!$N$3:$N$157,'2023 Business Log'!$A$3:$A$157,A23,'2023 Business Log'!$T$3:$T$157,$J$16,'2023 Business Log'!$K$3:$K$157,"Issued")))</f>
        <v>0</v>
      </c>
      <c r="K23" s="27">
        <f>((SUMIFS('2023 Business Log'!$N$3:$N$157,'2023 Business Log'!$A$3:$A$157,A23,'2023 Business Log'!$T$3:$T$157,$K$16,'2023 Business Log'!$K$3:$K$157,"Issued")))</f>
        <v>0</v>
      </c>
    </row>
    <row r="24" spans="1:12" ht="17" thickBot="1" x14ac:dyDescent="0.25">
      <c r="A24" s="5" t="s">
        <v>34</v>
      </c>
      <c r="B24" s="28">
        <f t="shared" ref="B24:K24" si="3">SUM(B17:B20)</f>
        <v>3341000</v>
      </c>
      <c r="C24" s="29">
        <f t="shared" si="3"/>
        <v>4505000</v>
      </c>
      <c r="D24" s="29">
        <f t="shared" si="3"/>
        <v>118125</v>
      </c>
      <c r="E24" s="29">
        <f t="shared" si="3"/>
        <v>1005.25</v>
      </c>
      <c r="F24" s="72">
        <f t="shared" si="3"/>
        <v>7965130.25</v>
      </c>
      <c r="G24" s="29">
        <f t="shared" si="3"/>
        <v>2820000</v>
      </c>
      <c r="H24" s="29">
        <f t="shared" si="3"/>
        <v>960625</v>
      </c>
      <c r="I24" s="29">
        <f t="shared" si="3"/>
        <v>1376505.25</v>
      </c>
      <c r="J24" s="37">
        <f t="shared" si="3"/>
        <v>1458000</v>
      </c>
      <c r="K24" s="38">
        <f t="shared" si="3"/>
        <v>1350000</v>
      </c>
    </row>
    <row r="25" spans="1:12" ht="16" thickBot="1" x14ac:dyDescent="0.25"/>
    <row r="26" spans="1:12" ht="26" thickBot="1" x14ac:dyDescent="0.3">
      <c r="A26" s="332" t="s">
        <v>228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4"/>
    </row>
    <row r="27" spans="1:12" ht="21" thickBot="1" x14ac:dyDescent="0.25">
      <c r="A27" s="314" t="s">
        <v>30</v>
      </c>
      <c r="B27" s="316" t="s">
        <v>21</v>
      </c>
      <c r="C27" s="317"/>
      <c r="D27" s="317"/>
      <c r="E27" s="317"/>
      <c r="F27" s="318"/>
      <c r="G27" s="319" t="s">
        <v>22</v>
      </c>
      <c r="H27" s="320"/>
      <c r="I27" s="320"/>
      <c r="J27" s="320"/>
      <c r="K27" s="321"/>
      <c r="L27" s="44"/>
    </row>
    <row r="28" spans="1:12" ht="16" thickBot="1" x14ac:dyDescent="0.25">
      <c r="A28" s="315"/>
      <c r="B28" s="11" t="str">
        <f>'Data Source'!A6</f>
        <v>Annuity</v>
      </c>
      <c r="C28" s="12" t="str">
        <f>'Data Source'!A7</f>
        <v>AUM</v>
      </c>
      <c r="D28" s="12" t="str">
        <f>'Data Source'!A8</f>
        <v>Life</v>
      </c>
      <c r="E28" s="12" t="str">
        <f>'Data Source'!A9</f>
        <v>Med Supp</v>
      </c>
      <c r="F28" s="89" t="s">
        <v>25</v>
      </c>
      <c r="G28" s="92" t="str">
        <f>'Data Source'!E6</f>
        <v>Q1</v>
      </c>
      <c r="H28" s="93" t="str">
        <f>'Data Source'!E7</f>
        <v>Q2</v>
      </c>
      <c r="I28" s="93" t="str">
        <f>'Data Source'!E8</f>
        <v>Q3</v>
      </c>
      <c r="J28" s="93" t="str">
        <f>'Data Source'!E9</f>
        <v>Q4</v>
      </c>
      <c r="K28" s="94" t="str">
        <f>'Data Source'!E10</f>
        <v>Prior Yr</v>
      </c>
    </row>
    <row r="29" spans="1:12" x14ac:dyDescent="0.2">
      <c r="A29" s="3" t="str">
        <f>'Data Source'!B6</f>
        <v>Chris</v>
      </c>
      <c r="B29" s="21">
        <f>((SUMIFS('2023 Business Log'!$M$3:$M$157,'2023 Business Log'!$A$3:$A$157,A29,'2023 Business Log'!$D$3:$D$157,$B$28,'2023 Business Log'!$K$3:$K$157,"Withdrawn"))+(SUMIFS('2023 Business Log'!$L$3:$L$157,'2023 Business Log'!$A$3:$A$157,A29,'2023 Business Log'!$D$3:$D$157,$B$28,'2023 Business Log'!$K$3:$K$157,"Withdrawn")))</f>
        <v>0</v>
      </c>
      <c r="C29" s="22">
        <f>((SUMIFS('2023 Business Log'!$M$3:$M$157,'2023 Business Log'!$A$3:$A$157,A29,'2023 Business Log'!$D$3:$D$157,$C$28,'2023 Business Log'!$K$3:$K$157,"Withdrawn"))+(SUMIFS('2023 Business Log'!$L$3:$L$157,'2023 Business Log'!$A$3:$A$157,A29,'2023 Business Log'!$D$3:$D$157,$C$28,'2023 Business Log'!$K$3:$K$157,"Withdrawn")))</f>
        <v>0</v>
      </c>
      <c r="D29" s="22">
        <f>((SUMIFS('2023 Business Log'!$M$3:$M$157,'2023 Business Log'!$A$3:$A$157,A29,'2023 Business Log'!$D$3:$D$157,$D$28,'2023 Business Log'!$K$3:$K$157,"Withdrawn"))+(SUMIFS('2023 Business Log'!$L$3:$L$157,'2023 Business Log'!$A$3:$A$157,A29,'2023 Business Log'!$D$3:$D$157,$D$28,'2023 Business Log'!$K$3:$K$157,"Withdrawn")))</f>
        <v>0</v>
      </c>
      <c r="E29" s="22">
        <f>((SUMIFS('2023 Business Log'!$M$3:$M$157,'2023 Business Log'!$A$3:$A$157,A29,'2023 Business Log'!$D$3:$D$157,$E$28,'2023 Business Log'!$K$3:$K$157,"Withdrawn"))+(SUMIFS('2023 Business Log'!$L$3:$L$157,'2023 Business Log'!$A$3:$A$157,A29,'2023 Business Log'!$D$3:$D$157,$E$28,'2023 Business Log'!$K$3:$K$157,"Withdrawn")))</f>
        <v>0</v>
      </c>
      <c r="F29" s="73">
        <f t="shared" ref="F29" si="4">SUM(B29:E29)</f>
        <v>0</v>
      </c>
      <c r="G29" s="22">
        <f>((SUMIFS('2023 Business Log'!$M$3:$M$157,'2023 Business Log'!$A$3:$A$157,A29,'2023 Business Log'!$T$3:$T$157,$G$28,'2023 Business Log'!$K$3:$K$157,"Withdrawn"))+(SUMIFS('2023 Business Log'!$L$3:$L$157,'2023 Business Log'!$A$3:$A$157,A29,'2023 Business Log'!$T$3:$T$157,$G$28,'2023 Business Log'!$K$3:$K$157,"Withdrawn")))</f>
        <v>0</v>
      </c>
      <c r="H29" s="22">
        <f>((SUMIFS('2023 Business Log'!$M$3:$M$157,'2023 Business Log'!$A$3:$A$157,A29,'2023 Business Log'!$T$3:$T$157,$H$28,'2023 Business Log'!$K$3:$K$157,"Withdrawn"))+(SUMIFS('2023 Business Log'!$L$3:$L$157,'2023 Business Log'!$A$3:$A$157,A29,'2023 Business Log'!$T$3:$T$157,$H$28,'2023 Business Log'!$K$3:$K$157,"Withdrawn")))</f>
        <v>0</v>
      </c>
      <c r="I29" s="22">
        <f>((SUMIFS('2023 Business Log'!$M$3:$M$157,'2023 Business Log'!$A$3:$A$157,A29,'2023 Business Log'!$T$3:$T$157,$I$28,'2023 Business Log'!$K$3:$K$157,"Withdrawn"))+(SUMIFS('2023 Business Log'!$L$3:$L$157,'2023 Business Log'!$A$3:$A$157,A29,'2023 Business Log'!$T$3:$T$157,$I$28,'2023 Business Log'!$K$3:$K$157,"Withdrawn")))</f>
        <v>0</v>
      </c>
      <c r="J29" s="22">
        <f>((SUMIFS('2023 Business Log'!$M$3:$M$157,'2023 Business Log'!$A$3:$A$157,A29,'2023 Business Log'!$T$3:$T$157,$J$28,'2023 Business Log'!$K$3:$K$157,"Withdrawn"))+(SUMIFS('2023 Business Log'!$L$3:$L$157,'2023 Business Log'!$A$3:$A$157,A29,'2023 Business Log'!$T$3:$T$157,$J$28,'2023 Business Log'!$K$3:$K$157,"Withdrawn")))</f>
        <v>0</v>
      </c>
      <c r="K29" s="23">
        <f>((SUMIFS('2023 Business Log'!$M$3:$M$157,'2023 Business Log'!$A$3:$A$157,A29,'2023 Business Log'!$T$3:$T$157,$K$28,'2023 Business Log'!$K$3:$K$157,"Withdrawn"))+(SUMIFS('2023 Business Log'!$L$3:$L$157,'2023 Business Log'!$A$3:$A$157,A29,'2023 Business Log'!$T$3:$T$157,$K$28,'2023 Business Log'!$K$3:$K$157,"Withdrawn")))</f>
        <v>0</v>
      </c>
    </row>
    <row r="30" spans="1:12" x14ac:dyDescent="0.2">
      <c r="A30" s="3" t="str">
        <f>'Data Source'!B7</f>
        <v>John</v>
      </c>
      <c r="B30" s="19">
        <f>((SUMIFS('2023 Business Log'!$M$3:$M$157,'2023 Business Log'!$A$3:$A$157,A30,'2023 Business Log'!$D$3:$D$157,$B$28,'2023 Business Log'!$K$3:$K$157,"Withdrawn"))+(SUMIFS('2023 Business Log'!$L$3:$L$157,'2023 Business Log'!$A$3:$A$157,A30,'2023 Business Log'!$D$3:$D$157,$B$28,'2023 Business Log'!$K$3:$K$157,"Withdrawn")))</f>
        <v>0</v>
      </c>
      <c r="C30" s="20">
        <f>((SUMIFS('2023 Business Log'!$M$3:$M$157,'2023 Business Log'!$A$3:$A$157,A30,'2023 Business Log'!$D$3:$D$157,$C$28,'2023 Business Log'!$K$3:$K$157,"Withdrawn"))+(SUMIFS('2023 Business Log'!$L$3:$L$157,'2023 Business Log'!$A$3:$A$157,A30,'2023 Business Log'!$D$3:$D$157,$C$28,'2023 Business Log'!$K$3:$K$157,"Withdrawn")))</f>
        <v>0</v>
      </c>
      <c r="D30" s="20">
        <f>((SUMIFS('2023 Business Log'!$M$3:$M$157,'2023 Business Log'!$A$3:$A$157,A30,'2023 Business Log'!$D$3:$D$157,$D$28,'2023 Business Log'!$K$3:$K$157,"Withdrawn"))+(SUMIFS('2023 Business Log'!$L$3:$L$157,'2023 Business Log'!$A$3:$A$157,A30,'2023 Business Log'!$D$3:$D$157,$D$28,'2023 Business Log'!$K$3:$K$157,"Withdrawn")))</f>
        <v>30000</v>
      </c>
      <c r="E30" s="20">
        <f>((SUMIFS('2023 Business Log'!$M$3:$M$157,'2023 Business Log'!$A$3:$A$157,A30,'2023 Business Log'!$D$3:$D$157,$E$28,'2023 Business Log'!$K$3:$K$157,"Withdrawn"))+(SUMIFS('2023 Business Log'!$L$3:$L$157,'2023 Business Log'!$A$3:$A$157,A30,'2023 Business Log'!$D$3:$D$157,$E$28,'2023 Business Log'!$K$3:$K$157,"Withdrawn")))</f>
        <v>0</v>
      </c>
      <c r="F30" s="43">
        <f t="shared" ref="F30:F35" si="5">SUM(B30:E30)</f>
        <v>30000</v>
      </c>
      <c r="G30" s="20">
        <f>((SUMIFS('2023 Business Log'!$M$3:$M$157,'2023 Business Log'!$A$3:$A$157,A30,'2023 Business Log'!$T$3:$T$157,$G$28,'2023 Business Log'!$K$3:$K$157,"Withdrawn"))+(SUMIFS('2023 Business Log'!$L$3:$L$157,'2023 Business Log'!$A$3:$A$157,A30,'2023 Business Log'!$T$3:$T$157,$G$28,'2023 Business Log'!$K$3:$K$157,"Withdrawn")))</f>
        <v>0</v>
      </c>
      <c r="H30" s="20">
        <f>((SUMIFS('2023 Business Log'!$M$3:$M$157,'2023 Business Log'!$A$3:$A$157,A30,'2023 Business Log'!$T$3:$T$157,$H$28,'2023 Business Log'!$K$3:$K$157,"Withdrawn"))+(SUMIFS('2023 Business Log'!$L$3:$L$157,'2023 Business Log'!$A$3:$A$157,A30,'2023 Business Log'!$T$3:$T$157,$H$28,'2023 Business Log'!$K$3:$K$157,"Withdrawn")))</f>
        <v>0</v>
      </c>
      <c r="I30" s="20">
        <f>((SUMIFS('2023 Business Log'!$M$3:$M$157,'2023 Business Log'!$A$3:$A$157,A30,'2023 Business Log'!$T$3:$T$157,$I$28,'2023 Business Log'!$K$3:$K$157,"Withdrawn"))+(SUMIFS('2023 Business Log'!$L$3:$L$157,'2023 Business Log'!$A$3:$A$157,A30,'2023 Business Log'!$T$3:$T$157,$I$28,'2023 Business Log'!$K$3:$K$157,"Withdrawn")))</f>
        <v>0</v>
      </c>
      <c r="J30" s="20">
        <f>((SUMIFS('2023 Business Log'!$M$3:$M$157,'2023 Business Log'!$A$3:$A$157,A30,'2023 Business Log'!$T$3:$T$157,$J$28,'2023 Business Log'!$K$3:$K$157,"Withdrawn"))+(SUMIFS('2023 Business Log'!$L$3:$L$157,'2023 Business Log'!$A$3:$A$157,A30,'2023 Business Log'!$T$3:$T$157,$J$28,'2023 Business Log'!$K$3:$K$157,"Withdrawn")))</f>
        <v>30000</v>
      </c>
      <c r="K30" s="24">
        <f>((SUMIFS('2023 Business Log'!$M$3:$M$157,'2023 Business Log'!$A$3:$A$157,A30,'2023 Business Log'!$T$3:$T$157,$K$28,'2023 Business Log'!$K$3:$K$157,"Withdrawn"))+(SUMIFS('2023 Business Log'!$L$3:$L$157,'2023 Business Log'!$A$3:$A$157,A30,'2023 Business Log'!$T$3:$T$157,$K$28,'2023 Business Log'!$K$3:$K$157,"Withdrawn")))</f>
        <v>0</v>
      </c>
    </row>
    <row r="31" spans="1:12" x14ac:dyDescent="0.2">
      <c r="A31" s="3" t="str">
        <f>'Data Source'!B8</f>
        <v>Mark</v>
      </c>
      <c r="B31" s="19">
        <f>((SUMIFS('2023 Business Log'!$M$3:$M$157,'2023 Business Log'!$A$3:$A$157,A31,'2023 Business Log'!$D$3:$D$157,$B$28,'2023 Business Log'!$K$3:$K$157,"Withdrawn"))+(SUMIFS('2023 Business Log'!$L$3:$L$157,'2023 Business Log'!$A$3:$A$157,A31,'2023 Business Log'!$D$3:$D$157,$B$28,'2023 Business Log'!$K$3:$K$157,"Withdrawn")))</f>
        <v>0</v>
      </c>
      <c r="C31" s="20">
        <f>((SUMIFS('2023 Business Log'!$M$3:$M$157,'2023 Business Log'!$A$3:$A$157,A31,'2023 Business Log'!$D$3:$D$157,$C$28,'2023 Business Log'!$K$3:$K$157,"Withdrawn"))+(SUMIFS('2023 Business Log'!$L$3:$L$157,'2023 Business Log'!$A$3:$A$157,A31,'2023 Business Log'!$D$3:$D$157,$C$28,'2023 Business Log'!$K$3:$K$157,"Withdrawn")))</f>
        <v>0</v>
      </c>
      <c r="D31" s="20">
        <f>((SUMIFS('2023 Business Log'!$M$3:$M$157,'2023 Business Log'!$A$3:$A$157,A31,'2023 Business Log'!$D$3:$D$157,$D$28,'2023 Business Log'!$K$3:$K$157,"Withdrawn"))+(SUMIFS('2023 Business Log'!$L$3:$L$157,'2023 Business Log'!$A$3:$A$157,A31,'2023 Business Log'!$D$3:$D$157,$D$28,'2023 Business Log'!$K$3:$K$157,"Withdrawn")))</f>
        <v>0</v>
      </c>
      <c r="E31" s="20">
        <f>((SUMIFS('2023 Business Log'!$M$3:$M$157,'2023 Business Log'!$A$3:$A$157,A31,'2023 Business Log'!$D$3:$D$157,$E$28,'2023 Business Log'!$K$3:$K$157,"Withdrawn"))+(SUMIFS('2023 Business Log'!$L$3:$L$157,'2023 Business Log'!$A$3:$A$157,A31,'2023 Business Log'!$D$3:$D$157,$E$28,'2023 Business Log'!$K$3:$K$157,"Withdrawn")))</f>
        <v>0</v>
      </c>
      <c r="F31" s="43">
        <f t="shared" si="5"/>
        <v>0</v>
      </c>
      <c r="G31" s="20">
        <f>((SUMIFS('2023 Business Log'!$M$3:$M$157,'2023 Business Log'!$A$3:$A$157,A31,'2023 Business Log'!$T$3:$T$157,$G$28,'2023 Business Log'!$K$3:$K$157,"Withdrawn"))+(SUMIFS('2023 Business Log'!$L$3:$L$157,'2023 Business Log'!$A$3:$A$157,A31,'2023 Business Log'!$T$3:$T$157,$G$28,'2023 Business Log'!$K$3:$K$157,"Withdrawn")))</f>
        <v>0</v>
      </c>
      <c r="H31" s="20">
        <f>((SUMIFS('2023 Business Log'!$M$3:$M$157,'2023 Business Log'!$A$3:$A$157,A31,'2023 Business Log'!$T$3:$T$157,$H$28,'2023 Business Log'!$K$3:$K$157,"Withdrawn"))+(SUMIFS('2023 Business Log'!$L$3:$L$157,'2023 Business Log'!$A$3:$A$157,A31,'2023 Business Log'!$T$3:$T$157,$H$28,'2023 Business Log'!$K$3:$K$157,"Withdrawn")))</f>
        <v>0</v>
      </c>
      <c r="I31" s="20">
        <f>((SUMIFS('2023 Business Log'!$M$3:$M$157,'2023 Business Log'!$A$3:$A$157,A31,'2023 Business Log'!$T$3:$T$157,$I$28,'2023 Business Log'!$K$3:$K$157,"Withdrawn"))+(SUMIFS('2023 Business Log'!$L$3:$L$157,'2023 Business Log'!$A$3:$A$157,A31,'2023 Business Log'!$T$3:$T$157,$I$28,'2023 Business Log'!$K$3:$K$157,"Withdrawn")))</f>
        <v>0</v>
      </c>
      <c r="J31" s="20">
        <f>((SUMIFS('2023 Business Log'!$M$3:$M$157,'2023 Business Log'!$A$3:$A$157,A31,'2023 Business Log'!$T$3:$T$157,$J$28,'2023 Business Log'!$K$3:$K$157,"Withdrawn"))+(SUMIFS('2023 Business Log'!$L$3:$L$157,'2023 Business Log'!$A$3:$A$157,A31,'2023 Business Log'!$T$3:$T$157,$J$28,'2023 Business Log'!$K$3:$K$157,"Withdrawn")))</f>
        <v>0</v>
      </c>
      <c r="K31" s="24">
        <f>((SUMIFS('2023 Business Log'!$M$3:$M$157,'2023 Business Log'!$A$3:$A$157,A31,'2023 Business Log'!$T$3:$T$157,$K$28,'2023 Business Log'!$K$3:$K$157,"Withdrawn"))+(SUMIFS('2023 Business Log'!$L$3:$L$157,'2023 Business Log'!$A$3:$A$157,A31,'2023 Business Log'!$T$3:$T$157,$K$28,'2023 Business Log'!$K$3:$K$157,"Withdrawn")))</f>
        <v>0</v>
      </c>
    </row>
    <row r="32" spans="1:12" x14ac:dyDescent="0.2">
      <c r="A32" s="3" t="str">
        <f>'Data Source'!B9</f>
        <v>Mike</v>
      </c>
      <c r="B32" s="19">
        <f>((SUMIFS('2023 Business Log'!$M$3:$M$157,'2023 Business Log'!$A$3:$A$157,A32,'2023 Business Log'!$D$3:$D$157,$B$28,'2023 Business Log'!$K$3:$K$157,"Withdrawn"))+(SUMIFS('2023 Business Log'!$L$3:$L$157,'2023 Business Log'!$A$3:$A$157,A32,'2023 Business Log'!$D$3:$D$157,$B$28,'2023 Business Log'!$K$3:$K$157,"Withdrawn")))</f>
        <v>0</v>
      </c>
      <c r="C32" s="20">
        <f>((SUMIFS('2023 Business Log'!$M$3:$M$157,'2023 Business Log'!$A$3:$A$157,A32,'2023 Business Log'!$D$3:$D$157,$C$28,'2023 Business Log'!$K$3:$K$157,"Withdrawn"))+(SUMIFS('2023 Business Log'!$L$3:$L$157,'2023 Business Log'!$A$3:$A$157,A32,'2023 Business Log'!$D$3:$D$157,$C$28,'2023 Business Log'!$K$3:$K$157,"Withdrawn")))</f>
        <v>0</v>
      </c>
      <c r="D32" s="20">
        <f>((SUMIFS('2023 Business Log'!$M$3:$M$157,'2023 Business Log'!$A$3:$A$157,A32,'2023 Business Log'!$D$3:$D$157,$D$28,'2023 Business Log'!$K$3:$K$157,"Withdrawn"))+(SUMIFS('2023 Business Log'!$L$3:$L$157,'2023 Business Log'!$A$3:$A$157,A32,'2023 Business Log'!$D$3:$D$157,$D$28,'2023 Business Log'!$K$3:$K$157,"Withdrawn")))</f>
        <v>0</v>
      </c>
      <c r="E32" s="20">
        <f>((SUMIFS('2023 Business Log'!$M$3:$M$157,'2023 Business Log'!$A$3:$A$157,A32,'2023 Business Log'!$D$3:$D$157,$E$28,'2023 Business Log'!$K$3:$K$157,"Withdrawn"))+(SUMIFS('2023 Business Log'!$L$3:$L$157,'2023 Business Log'!$A$3:$A$157,A32,'2023 Business Log'!$D$3:$D$157,$E$28,'2023 Business Log'!$K$3:$K$157,"Withdrawn")))</f>
        <v>0</v>
      </c>
      <c r="F32" s="43">
        <f t="shared" si="5"/>
        <v>0</v>
      </c>
      <c r="G32" s="20">
        <f>((SUMIFS('2023 Business Log'!$M$3:$M$157,'2023 Business Log'!$A$3:$A$157,A32,'2023 Business Log'!$T$3:$T$157,$G$28,'2023 Business Log'!$K$3:$K$157,"Withdrawn"))+(SUMIFS('2023 Business Log'!$L$3:$L$157,'2023 Business Log'!$A$3:$A$157,A32,'2023 Business Log'!$T$3:$T$157,$G$28,'2023 Business Log'!$K$3:$K$157,"Withdrawn")))</f>
        <v>0</v>
      </c>
      <c r="H32" s="20">
        <f>((SUMIFS('2023 Business Log'!$M$3:$M$157,'2023 Business Log'!$A$3:$A$157,A32,'2023 Business Log'!$T$3:$T$157,$H$28,'2023 Business Log'!$K$3:$K$157,"Withdrawn"))+(SUMIFS('2023 Business Log'!$L$3:$L$157,'2023 Business Log'!$A$3:$A$157,A32,'2023 Business Log'!$T$3:$T$157,$H$28,'2023 Business Log'!$K$3:$K$157,"Withdrawn")))</f>
        <v>0</v>
      </c>
      <c r="I32" s="20">
        <f>((SUMIFS('2023 Business Log'!$M$3:$M$157,'2023 Business Log'!$A$3:$A$157,A32,'2023 Business Log'!$T$3:$T$157,$I$28,'2023 Business Log'!$K$3:$K$157,"Withdrawn"))+(SUMIFS('2023 Business Log'!$L$3:$L$157,'2023 Business Log'!$A$3:$A$157,A32,'2023 Business Log'!$T$3:$T$157,$I$28,'2023 Business Log'!$K$3:$K$157,"Withdrawn")))</f>
        <v>0</v>
      </c>
      <c r="J32" s="20">
        <f>((SUMIFS('2023 Business Log'!$M$3:$M$157,'2023 Business Log'!$A$3:$A$157,A32,'2023 Business Log'!$T$3:$T$157,$J$28,'2023 Business Log'!$K$3:$K$157,"Withdrawn"))+(SUMIFS('2023 Business Log'!$L$3:$L$157,'2023 Business Log'!$A$3:$A$157,A32,'2023 Business Log'!$T$3:$T$157,$J$28,'2023 Business Log'!$K$3:$K$157,"Withdrawn")))</f>
        <v>0</v>
      </c>
      <c r="K32" s="24">
        <f>((SUMIFS('2023 Business Log'!$M$3:$M$157,'2023 Business Log'!$A$3:$A$157,A32,'2023 Business Log'!$T$3:$T$157,$K$28,'2023 Business Log'!$K$3:$K$157,"Withdrawn"))+(SUMIFS('2023 Business Log'!$L$3:$L$157,'2023 Business Log'!$A$3:$A$157,A32,'2023 Business Log'!$T$3:$T$157,$K$28,'2023 Business Log'!$K$3:$K$157,"Withdrawn")))</f>
        <v>0</v>
      </c>
    </row>
    <row r="33" spans="1:11" x14ac:dyDescent="0.2">
      <c r="A33" s="3">
        <f>'Data Source'!B10</f>
        <v>0</v>
      </c>
      <c r="B33" s="19">
        <f>((SUMIFS('2023 Business Log'!$M$3:$M$157,'2023 Business Log'!$A$3:$A$157,A33,'2023 Business Log'!$D$3:$D$157,$B$28,'2023 Business Log'!$K$3:$K$157,"Withdrawn"))+(SUMIFS('2023 Business Log'!$L$3:$L$157,'2023 Business Log'!$A$3:$A$157,A33,'2023 Business Log'!$D$3:$D$157,$B$28,'2023 Business Log'!$K$3:$K$157,"Withdrawn")))</f>
        <v>0</v>
      </c>
      <c r="C33" s="20">
        <f>((SUMIFS('2023 Business Log'!$M$3:$M$157,'2023 Business Log'!$A$3:$A$157,A33,'2023 Business Log'!$D$3:$D$157,$C$28,'2023 Business Log'!$K$3:$K$157,"Withdrawn"))+(SUMIFS('2023 Business Log'!$L$3:$L$157,'2023 Business Log'!$A$3:$A$157,A33,'2023 Business Log'!$D$3:$D$157,$C$28,'2023 Business Log'!$K$3:$K$157,"Withdrawn")))</f>
        <v>0</v>
      </c>
      <c r="D33" s="20">
        <f>((SUMIFS('2023 Business Log'!$M$3:$M$157,'2023 Business Log'!$A$3:$A$157,A33,'2023 Business Log'!$D$3:$D$157,$D$28,'2023 Business Log'!$K$3:$K$157,"Withdrawn"))+(SUMIFS('2023 Business Log'!$L$3:$L$157,'2023 Business Log'!$A$3:$A$157,A33,'2023 Business Log'!$D$3:$D$157,$D$28,'2023 Business Log'!$K$3:$K$157,"Withdrawn")))</f>
        <v>0</v>
      </c>
      <c r="E33" s="20">
        <f>((SUMIFS('2023 Business Log'!$M$3:$M$157,'2023 Business Log'!$A$3:$A$157,A33,'2023 Business Log'!$D$3:$D$157,$E$28,'2023 Business Log'!$K$3:$K$157,"Withdrawn"))+(SUMIFS('2023 Business Log'!$L$3:$L$157,'2023 Business Log'!$A$3:$A$157,A33,'2023 Business Log'!$D$3:$D$157,$E$28,'2023 Business Log'!$K$3:$K$157,"Withdrawn")))</f>
        <v>0</v>
      </c>
      <c r="F33" s="43">
        <f t="shared" si="5"/>
        <v>0</v>
      </c>
      <c r="G33" s="20">
        <f>((SUMIFS('2023 Business Log'!$M$3:$M$157,'2023 Business Log'!$A$3:$A$157,A33,'2023 Business Log'!$T$3:$T$157,$G$28,'2023 Business Log'!$K$3:$K$157,"Withdrawn"))+(SUMIFS('2023 Business Log'!$L$3:$L$157,'2023 Business Log'!$A$3:$A$157,A33,'2023 Business Log'!$T$3:$T$157,$G$28,'2023 Business Log'!$K$3:$K$157,"Withdrawn")))</f>
        <v>0</v>
      </c>
      <c r="H33" s="20">
        <f>((SUMIFS('2023 Business Log'!$M$3:$M$157,'2023 Business Log'!$A$3:$A$157,A33,'2023 Business Log'!$T$3:$T$157,$H$28,'2023 Business Log'!$K$3:$K$157,"Withdrawn"))+(SUMIFS('2023 Business Log'!$L$3:$L$157,'2023 Business Log'!$A$3:$A$157,A33,'2023 Business Log'!$T$3:$T$157,$H$28,'2023 Business Log'!$K$3:$K$157,"Withdrawn")))</f>
        <v>0</v>
      </c>
      <c r="I33" s="20">
        <f>((SUMIFS('2023 Business Log'!$M$3:$M$157,'2023 Business Log'!$A$3:$A$157,A33,'2023 Business Log'!$T$3:$T$157,$I$28,'2023 Business Log'!$K$3:$K$157,"Withdrawn"))+(SUMIFS('2023 Business Log'!$L$3:$L$157,'2023 Business Log'!$A$3:$A$157,A33,'2023 Business Log'!$T$3:$T$157,$I$28,'2023 Business Log'!$K$3:$K$157,"Withdrawn")))</f>
        <v>0</v>
      </c>
      <c r="J33" s="20">
        <f>((SUMIFS('2023 Business Log'!$M$3:$M$157,'2023 Business Log'!$A$3:$A$157,A33,'2023 Business Log'!$T$3:$T$157,$J$28,'2023 Business Log'!$K$3:$K$157,"Withdrawn"))+(SUMIFS('2023 Business Log'!$L$3:$L$157,'2023 Business Log'!$A$3:$A$157,A33,'2023 Business Log'!$T$3:$T$157,$J$28,'2023 Business Log'!$K$3:$K$157,"Withdrawn")))</f>
        <v>0</v>
      </c>
      <c r="K33" s="24">
        <f>((SUMIFS('2023 Business Log'!$M$3:$M$157,'2023 Business Log'!$A$3:$A$157,A33,'2023 Business Log'!$T$3:$T$157,$K$28,'2023 Business Log'!$K$3:$K$157,"Withdrawn"))+(SUMIFS('2023 Business Log'!$L$3:$L$157,'2023 Business Log'!$A$3:$A$157,A33,'2023 Business Log'!$T$3:$T$157,$K$28,'2023 Business Log'!$K$3:$K$157,"Withdrawn")))</f>
        <v>0</v>
      </c>
    </row>
    <row r="34" spans="1:11" x14ac:dyDescent="0.2">
      <c r="A34" s="3">
        <f>'Data Source'!B11</f>
        <v>0</v>
      </c>
      <c r="B34" s="19">
        <f>((SUMIFS('2023 Business Log'!$M$3:$M$157,'2023 Business Log'!$A$3:$A$157,A34,'2023 Business Log'!$D$3:$D$157,$B$28,'2023 Business Log'!$K$3:$K$157,"Withdrawn"))+(SUMIFS('2023 Business Log'!$L$3:$L$157,'2023 Business Log'!$A$3:$A$157,A34,'2023 Business Log'!$D$3:$D$157,$B$28,'2023 Business Log'!$K$3:$K$157,"Withdrawn")))</f>
        <v>0</v>
      </c>
      <c r="C34" s="20">
        <f>((SUMIFS('2023 Business Log'!$M$3:$M$157,'2023 Business Log'!$A$3:$A$157,A34,'2023 Business Log'!$D$3:$D$157,$C$28,'2023 Business Log'!$K$3:$K$157,"Withdrawn"))+(SUMIFS('2023 Business Log'!$L$3:$L$157,'2023 Business Log'!$A$3:$A$157,A34,'2023 Business Log'!$D$3:$D$157,$C$28,'2023 Business Log'!$K$3:$K$157,"Withdrawn")))</f>
        <v>0</v>
      </c>
      <c r="D34" s="20">
        <f>((SUMIFS('2023 Business Log'!$M$3:$M$157,'2023 Business Log'!$A$3:$A$157,A34,'2023 Business Log'!$D$3:$D$157,$D$28,'2023 Business Log'!$K$3:$K$157,"Withdrawn"))+(SUMIFS('2023 Business Log'!$L$3:$L$157,'2023 Business Log'!$A$3:$A$157,A34,'2023 Business Log'!$D$3:$D$157,$D$28,'2023 Business Log'!$K$3:$K$157,"Withdrawn")))</f>
        <v>0</v>
      </c>
      <c r="E34" s="20">
        <f>((SUMIFS('2023 Business Log'!$M$3:$M$157,'2023 Business Log'!$A$3:$A$157,A34,'2023 Business Log'!$D$3:$D$157,$E$28,'2023 Business Log'!$K$3:$K$157,"Withdrawn"))+(SUMIFS('2023 Business Log'!$L$3:$L$157,'2023 Business Log'!$A$3:$A$157,A34,'2023 Business Log'!$D$3:$D$157,$E$28,'2023 Business Log'!$K$3:$K$157,"Withdrawn")))</f>
        <v>0</v>
      </c>
      <c r="F34" s="43">
        <f t="shared" si="5"/>
        <v>0</v>
      </c>
      <c r="G34" s="20">
        <f>((SUMIFS('2023 Business Log'!$M$3:$M$157,'2023 Business Log'!$A$3:$A$157,A34,'2023 Business Log'!$T$3:$T$157,$G$28,'2023 Business Log'!$K$3:$K$157,"Withdrawn"))+(SUMIFS('2023 Business Log'!$L$3:$L$157,'2023 Business Log'!$A$3:$A$157,A34,'2023 Business Log'!$T$3:$T$157,$G$28,'2023 Business Log'!$K$3:$K$157,"Withdrawn")))</f>
        <v>0</v>
      </c>
      <c r="H34" s="20">
        <f>((SUMIFS('2023 Business Log'!$M$3:$M$157,'2023 Business Log'!$A$3:$A$157,A34,'2023 Business Log'!$T$3:$T$157,$H$28,'2023 Business Log'!$K$3:$K$157,"Withdrawn"))+(SUMIFS('2023 Business Log'!$L$3:$L$157,'2023 Business Log'!$A$3:$A$157,A34,'2023 Business Log'!$T$3:$T$157,$H$28,'2023 Business Log'!$K$3:$K$157,"Withdrawn")))</f>
        <v>0</v>
      </c>
      <c r="I34" s="20">
        <f>((SUMIFS('2023 Business Log'!$M$3:$M$157,'2023 Business Log'!$A$3:$A$157,A34,'2023 Business Log'!$T$3:$T$157,$I$28,'2023 Business Log'!$K$3:$K$157,"Withdrawn"))+(SUMIFS('2023 Business Log'!$L$3:$L$157,'2023 Business Log'!$A$3:$A$157,A34,'2023 Business Log'!$T$3:$T$157,$I$28,'2023 Business Log'!$K$3:$K$157,"Withdrawn")))</f>
        <v>0</v>
      </c>
      <c r="J34" s="20">
        <f>((SUMIFS('2023 Business Log'!$M$3:$M$157,'2023 Business Log'!$A$3:$A$157,A34,'2023 Business Log'!$T$3:$T$157,$J$28,'2023 Business Log'!$K$3:$K$157,"Withdrawn"))+(SUMIFS('2023 Business Log'!$L$3:$L$157,'2023 Business Log'!$A$3:$A$157,A34,'2023 Business Log'!$T$3:$T$157,$J$28,'2023 Business Log'!$K$3:$K$157,"Withdrawn")))</f>
        <v>0</v>
      </c>
      <c r="K34" s="24">
        <f>((SUMIFS('2023 Business Log'!$M$3:$M$157,'2023 Business Log'!$A$3:$A$157,A34,'2023 Business Log'!$T$3:$T$157,$K$28,'2023 Business Log'!$K$3:$K$157,"Withdrawn"))+(SUMIFS('2023 Business Log'!$L$3:$L$157,'2023 Business Log'!$A$3:$A$157,A34,'2023 Business Log'!$T$3:$T$157,$K$28,'2023 Business Log'!$K$3:$K$157,"Withdrawn")))</f>
        <v>0</v>
      </c>
    </row>
    <row r="35" spans="1:11" ht="16" thickBot="1" x14ac:dyDescent="0.25">
      <c r="A35" s="3">
        <f>'Data Source'!B12</f>
        <v>0</v>
      </c>
      <c r="B35" s="25">
        <f>((SUMIFS('2023 Business Log'!$M$3:$M$157,'2023 Business Log'!$A$3:$A$157,A35,'2023 Business Log'!$D$3:$D$157,$B$28,'2023 Business Log'!$K$3:$K$157,"Withdrawn"))+(SUMIFS('2023 Business Log'!$L$3:$L$157,'2023 Business Log'!$A$3:$A$157,A35,'2023 Business Log'!$D$3:$D$157,$B$28,'2023 Business Log'!$K$3:$K$157,"Withdrawn")))</f>
        <v>0</v>
      </c>
      <c r="C35" s="26">
        <f>((SUMIFS('2023 Business Log'!$M$3:$M$157,'2023 Business Log'!$A$3:$A$157,A35,'2023 Business Log'!$D$3:$D$157,$C$28,'2023 Business Log'!$K$3:$K$157,"Withdrawn"))+(SUMIFS('2023 Business Log'!$L$3:$L$157,'2023 Business Log'!$A$3:$A$157,A35,'2023 Business Log'!$D$3:$D$157,$C$28,'2023 Business Log'!$K$3:$K$157,"Withdrawn")))</f>
        <v>0</v>
      </c>
      <c r="D35" s="26">
        <f>((SUMIFS('2023 Business Log'!$M$3:$M$157,'2023 Business Log'!$A$3:$A$157,A35,'2023 Business Log'!$D$3:$D$157,$D$28,'2023 Business Log'!$K$3:$K$157,"Withdrawn"))+(SUMIFS('2023 Business Log'!$L$3:$L$157,'2023 Business Log'!$A$3:$A$157,A35,'2023 Business Log'!$D$3:$D$157,$D$28,'2023 Business Log'!$K$3:$K$157,"Withdrawn")))</f>
        <v>0</v>
      </c>
      <c r="E35" s="26">
        <f>((SUMIFS('2023 Business Log'!$M$3:$M$157,'2023 Business Log'!$A$3:$A$157,A35,'2023 Business Log'!$D$3:$D$157,$E$28,'2023 Business Log'!$K$3:$K$157,"Withdrawn"))+(SUMIFS('2023 Business Log'!$L$3:$L$157,'2023 Business Log'!$A$3:$A$157,A35,'2023 Business Log'!$D$3:$D$157,$E$28,'2023 Business Log'!$K$3:$K$157,"Withdrawn")))</f>
        <v>0</v>
      </c>
      <c r="F35" s="74">
        <f t="shared" si="5"/>
        <v>0</v>
      </c>
      <c r="G35" s="26">
        <f>((SUMIFS('2023 Business Log'!$M$3:$M$157,'2023 Business Log'!$A$3:$A$157,A35,'2023 Business Log'!$T$3:$T$157,$G$28,'2023 Business Log'!$K$3:$K$157,"Withdrawn"))+(SUMIFS('2023 Business Log'!$L$3:$L$157,'2023 Business Log'!$A$3:$A$157,A35,'2023 Business Log'!$T$3:$T$157,$G$28,'2023 Business Log'!$K$3:$K$157,"Withdrawn")))</f>
        <v>0</v>
      </c>
      <c r="H35" s="26">
        <f>((SUMIFS('2023 Business Log'!$M$3:$M$157,'2023 Business Log'!$A$3:$A$157,A35,'2023 Business Log'!$T$3:$T$157,$H$28,'2023 Business Log'!$K$3:$K$157,"Withdrawn"))+(SUMIFS('2023 Business Log'!$L$3:$L$157,'2023 Business Log'!$A$3:$A$157,A35,'2023 Business Log'!$T$3:$T$157,$H$28,'2023 Business Log'!$K$3:$K$157,"Withdrawn")))</f>
        <v>0</v>
      </c>
      <c r="I35" s="26">
        <f>((SUMIFS('2023 Business Log'!$M$3:$M$157,'2023 Business Log'!$A$3:$A$157,A35,'2023 Business Log'!$T$3:$T$157,$I$28,'2023 Business Log'!$K$3:$K$157,"Withdrawn"))+(SUMIFS('2023 Business Log'!$L$3:$L$157,'2023 Business Log'!$A$3:$A$157,A35,'2023 Business Log'!$T$3:$T$157,$I$28,'2023 Business Log'!$K$3:$K$157,"Withdrawn")))</f>
        <v>0</v>
      </c>
      <c r="J35" s="26">
        <f>((SUMIFS('2023 Business Log'!$M$3:$M$157,'2023 Business Log'!$A$3:$A$157,A35,'2023 Business Log'!$T$3:$T$157,$J$28,'2023 Business Log'!$K$3:$K$157,"Withdrawn"))+(SUMIFS('2023 Business Log'!$L$3:$L$157,'2023 Business Log'!$A$3:$A$157,A35,'2023 Business Log'!$T$3:$T$157,$J$28,'2023 Business Log'!$K$3:$K$157,"Withdrawn")))</f>
        <v>0</v>
      </c>
      <c r="K35" s="27">
        <f>((SUMIFS('2023 Business Log'!$M$3:$M$157,'2023 Business Log'!$A$3:$A$157,A35,'2023 Business Log'!$T$3:$T$157,$K$28,'2023 Business Log'!$K$3:$K$157,"Withdrawn"))+(SUMIFS('2023 Business Log'!$L$3:$L$157,'2023 Business Log'!$A$3:$A$157,A35,'2023 Business Log'!$T$3:$T$157,$K$28,'2023 Business Log'!$K$3:$K$157,"Withdrawn")))</f>
        <v>0</v>
      </c>
    </row>
    <row r="36" spans="1:11" ht="17" thickBot="1" x14ac:dyDescent="0.25">
      <c r="A36" s="5" t="s">
        <v>34</v>
      </c>
      <c r="B36" s="28">
        <f>SUM(B29:B32)</f>
        <v>0</v>
      </c>
      <c r="C36" s="29">
        <f>SUM(C29:C32)</f>
        <v>0</v>
      </c>
      <c r="D36" s="29">
        <f>SUM(D29:D32)</f>
        <v>30000</v>
      </c>
      <c r="E36" s="29">
        <f>SUM(E29:E32)</f>
        <v>0</v>
      </c>
      <c r="F36" s="72">
        <f t="shared" ref="F36" si="6">SUM(F29:F32)</f>
        <v>30000</v>
      </c>
      <c r="G36" s="28">
        <f>SUM(G29:G32)</f>
        <v>0</v>
      </c>
      <c r="H36" s="29">
        <f>SUM(H29:H32)</f>
        <v>0</v>
      </c>
      <c r="I36" s="29">
        <f>SUM(I29:I32)</f>
        <v>0</v>
      </c>
      <c r="J36" s="37">
        <f>SUM(J29:J32)</f>
        <v>30000</v>
      </c>
      <c r="K36" s="38">
        <f>SUM(K29:K32)</f>
        <v>0</v>
      </c>
    </row>
    <row r="38" spans="1:11" ht="16" thickBot="1" x14ac:dyDescent="0.25"/>
    <row r="39" spans="1:11" s="42" customFormat="1" ht="26" thickBot="1" x14ac:dyDescent="0.3">
      <c r="A39" s="306" t="s">
        <v>213</v>
      </c>
      <c r="B39" s="307"/>
      <c r="C39" s="307"/>
      <c r="D39" s="307"/>
      <c r="E39" s="308"/>
      <c r="F39" s="15"/>
      <c r="G39" s="322" t="s">
        <v>235</v>
      </c>
      <c r="H39" s="323"/>
      <c r="I39" s="323"/>
      <c r="J39" s="323"/>
      <c r="K39" s="324"/>
    </row>
    <row r="40" spans="1:11" ht="21" thickBot="1" x14ac:dyDescent="0.25">
      <c r="A40" s="309" t="s">
        <v>30</v>
      </c>
      <c r="B40" s="311" t="s">
        <v>61</v>
      </c>
      <c r="C40" s="312"/>
      <c r="D40" s="312"/>
      <c r="E40" s="313"/>
      <c r="F40" s="18"/>
      <c r="G40" s="298" t="s">
        <v>35</v>
      </c>
      <c r="H40" s="300" t="s">
        <v>236</v>
      </c>
      <c r="I40" s="301"/>
      <c r="J40" s="301"/>
      <c r="K40" s="302"/>
    </row>
    <row r="41" spans="1:11" ht="16" thickBot="1" x14ac:dyDescent="0.25">
      <c r="A41" s="310"/>
      <c r="B41" s="11" t="str">
        <f>'Data Source'!A6</f>
        <v>Annuity</v>
      </c>
      <c r="C41" s="12" t="str">
        <f>'Data Source'!A7</f>
        <v>AUM</v>
      </c>
      <c r="D41" s="12" t="str">
        <f>'Data Source'!A8</f>
        <v>Life</v>
      </c>
      <c r="E41" s="39" t="str">
        <f>'Data Source'!A9</f>
        <v>Med Supp</v>
      </c>
      <c r="F41" s="16"/>
      <c r="G41" s="299"/>
      <c r="H41" s="11" t="str">
        <f>'Data Source'!A6</f>
        <v>Annuity</v>
      </c>
      <c r="I41" s="12" t="str">
        <f>'Data Source'!A7</f>
        <v>AUM</v>
      </c>
      <c r="J41" s="12" t="str">
        <f>'Data Source'!A8</f>
        <v>Life</v>
      </c>
      <c r="K41" s="39" t="str">
        <f>'Data Source'!A9</f>
        <v>Med Supp</v>
      </c>
    </row>
    <row r="42" spans="1:11" x14ac:dyDescent="0.2">
      <c r="A42" s="3" t="str">
        <f>'Data Source'!B6</f>
        <v>Chris</v>
      </c>
      <c r="B42" s="241">
        <f>AVERAGEIFS('2023 Business Log'!$P$3:$P$157,'2023 Business Log'!$A$3:$A$157,A42,'2023 Business Log'!$D$3:$D$157,$B$41,'2023 Business Log'!$K$3:$K$157,"Issued")</f>
        <v>28</v>
      </c>
      <c r="C42" s="242">
        <f>AVERAGEIFS('2023 Business Log'!$P$3:$P$157,'2023 Business Log'!$A$3:$A$157,A42,'2023 Business Log'!$D$3:$D$157,$C$41,'2023 Business Log'!$K$3:$K$157,"Issued")</f>
        <v>7</v>
      </c>
      <c r="D42" s="242">
        <f>AVERAGEIFS('2023 Business Log'!$P$3:$P$157,'2023 Business Log'!$A$3:$A$157,A42,'2023 Business Log'!$D$3:$D$157,$D$41,'2023 Business Log'!$K$3:$K$157,"Issued")</f>
        <v>115</v>
      </c>
      <c r="E42" s="243">
        <f>AVERAGEIFS('2023 Business Log'!$P$3:$P$157,'2023 Business Log'!$A$3:$A$157,A42,'2023 Business Log'!$D$3:$D$157,$E$41,'2023 Business Log'!$K$3:$K$157,"Issued")</f>
        <v>34</v>
      </c>
      <c r="F42" s="4"/>
      <c r="G42" s="3" t="str">
        <f>'Data Source'!B6</f>
        <v>Chris</v>
      </c>
      <c r="H42" s="241">
        <f ca="1">AVERAGEIFS('2023 Business Log'!$O$3:$O$157,'2023 Business Log'!$A$3:$A$157,G42,'2023 Business Log'!$D$3:$D$157,$H$41,'2023 Business Log'!$K$3:$K$157,"Pending")</f>
        <v>71</v>
      </c>
      <c r="I42" s="242" t="e">
        <f>AVERAGEIFS('2023 Business Log'!$O$3:$O$157,'2023 Business Log'!$A$3:$A$157,G42,'2023 Business Log'!$D$3:$D$157,$I$41,'2023 Business Log'!$K$3:$K$157,"Pending")</f>
        <v>#DIV/0!</v>
      </c>
      <c r="J42" s="242">
        <f ca="1">AVERAGEIFS('2023 Business Log'!$O$3:$O$157,'2023 Business Log'!$A$3:$A$157,G42,'2023 Business Log'!$D$3:$D$157,$J$41,'2023 Business Log'!$K$3:$K$157,"Pending")</f>
        <v>65</v>
      </c>
      <c r="K42" s="243">
        <f ca="1">AVERAGEIFS('2023 Business Log'!$O$3:$O$157,'2023 Business Log'!$A$3:$A$157,G42,'2023 Business Log'!$D$3:$D$157,$K$41,'2023 Business Log'!$K$3:$K$157,"Pending")</f>
        <v>81</v>
      </c>
    </row>
    <row r="43" spans="1:11" x14ac:dyDescent="0.2">
      <c r="A43" s="3" t="str">
        <f>'Data Source'!B7</f>
        <v>John</v>
      </c>
      <c r="B43" s="244">
        <f>AVERAGEIFS('2023 Business Log'!$P$3:$P$157,'2023 Business Log'!$A$3:$A$157,A43,'2023 Business Log'!$D$3:$D$157,$B$41,'2023 Business Log'!$K$3:$K$157,"Issued")</f>
        <v>75</v>
      </c>
      <c r="C43" s="245" t="e">
        <f>AVERAGEIFS('2023 Business Log'!$P$3:$P$157,'2023 Business Log'!$A$3:$A$157,A43,'2023 Business Log'!$D$3:$D$157,$C$41,'2023 Business Log'!$K$3:$K$157,"Issued")</f>
        <v>#DIV/0!</v>
      </c>
      <c r="D43" s="245">
        <f>AVERAGEIFS('2023 Business Log'!$P$3:$P$157,'2023 Business Log'!$A$3:$A$157,A43,'2023 Business Log'!$D$3:$D$157,$D$41,'2023 Business Log'!$K$3:$K$157,"Issued")</f>
        <v>65</v>
      </c>
      <c r="E43" s="246" t="e">
        <f>AVERAGEIFS('2023 Business Log'!$P$3:$P$157,'2023 Business Log'!$A$3:$A$157,A43,'2023 Business Log'!$D$3:$D$157,$E$41,'2023 Business Log'!$K$3:$K$157,"Issued")</f>
        <v>#DIV/0!</v>
      </c>
      <c r="F43" s="4"/>
      <c r="G43" s="3" t="str">
        <f>'Data Source'!B7</f>
        <v>John</v>
      </c>
      <c r="H43" s="244" t="e">
        <f>AVERAGEIFS('2023 Business Log'!$O$3:$O$157,'2023 Business Log'!$A$3:$A$157,G43,'2023 Business Log'!$D$3:$D$157,$H$41,'2023 Business Log'!$K$3:$K$157,"Pending")</f>
        <v>#DIV/0!</v>
      </c>
      <c r="I43" s="245" t="e">
        <f>AVERAGEIFS('2023 Business Log'!$O$3:$O$157,'2023 Business Log'!$A$3:$A$157,G43,'2023 Business Log'!$D$3:$D$157,$I$41,'2023 Business Log'!$K$3:$K$157,"Pending")</f>
        <v>#DIV/0!</v>
      </c>
      <c r="J43" s="245" t="e">
        <f>AVERAGEIFS('2023 Business Log'!$O$3:$O$157,'2023 Business Log'!$A$3:$A$157,G43,'2023 Business Log'!$D$3:$D$157,$J$41,'2023 Business Log'!$K$3:$K$157,"Pending")</f>
        <v>#DIV/0!</v>
      </c>
      <c r="K43" s="246" t="e">
        <f>AVERAGEIFS('2023 Business Log'!$O$3:$O$157,'2023 Business Log'!$A$3:$A$157,G43,'2023 Business Log'!$D$3:$D$157,$K$41,'2023 Business Log'!$K$3:$K$157,"Pending")</f>
        <v>#DIV/0!</v>
      </c>
    </row>
    <row r="44" spans="1:11" x14ac:dyDescent="0.2">
      <c r="A44" s="3" t="str">
        <f>'Data Source'!B8</f>
        <v>Mark</v>
      </c>
      <c r="B44" s="244">
        <f>AVERAGEIFS('2023 Business Log'!$P$3:$P$157,'2023 Business Log'!$A$3:$A$157,A44,'2023 Business Log'!$D$3:$D$157,$B$41,'2023 Business Log'!$K$3:$K$157,"Issued")</f>
        <v>19</v>
      </c>
      <c r="C44" s="245">
        <f>AVERAGEIFS('2023 Business Log'!$P$3:$P$157,'2023 Business Log'!$A$3:$A$157,A44,'2023 Business Log'!$D$3:$D$157,$C$41,'2023 Business Log'!$K$3:$K$157,"Issued")</f>
        <v>11.4</v>
      </c>
      <c r="D44" s="245" t="e">
        <f>AVERAGEIFS('2023 Business Log'!$P$3:$P$157,'2023 Business Log'!$A$3:$A$157,A44,'2023 Business Log'!$D$3:$D$157,$D$41,'2023 Business Log'!$K$3:$K$157,"Issued")</f>
        <v>#DIV/0!</v>
      </c>
      <c r="E44" s="246" t="e">
        <f>AVERAGEIFS('2023 Business Log'!$P$3:$P$157,'2023 Business Log'!$A$3:$A$157,A44,'2023 Business Log'!$D$3:$D$157,$E$41,'2023 Business Log'!$K$3:$K$157,"Issued")</f>
        <v>#DIV/0!</v>
      </c>
      <c r="F44" s="4"/>
      <c r="G44" s="3" t="str">
        <f>'Data Source'!B8</f>
        <v>Mark</v>
      </c>
      <c r="H44" s="244">
        <f ca="1">AVERAGEIFS('2023 Business Log'!$O$3:$O$157,'2023 Business Log'!$A$3:$A$157,G44,'2023 Business Log'!$D$3:$D$157,$H$41,'2023 Business Log'!$K$3:$K$157,"Pending")</f>
        <v>89</v>
      </c>
      <c r="I44" s="245">
        <f ca="1">AVERAGEIFS('2023 Business Log'!$O$3:$O$157,'2023 Business Log'!$A$3:$A$157,G44,'2023 Business Log'!$D$3:$D$157,$I$41,'2023 Business Log'!$K$3:$K$157,"Pending")</f>
        <v>109.5</v>
      </c>
      <c r="J44" s="245" t="e">
        <f>AVERAGEIFS('2023 Business Log'!$O$3:$O$157,'2023 Business Log'!$A$3:$A$157,G44,'2023 Business Log'!$D$3:$D$157,$J$41,'2023 Business Log'!$K$3:$K$157,"Pending")</f>
        <v>#DIV/0!</v>
      </c>
      <c r="K44" s="246" t="e">
        <f>AVERAGEIFS('2023 Business Log'!$O$3:$O$157,'2023 Business Log'!$A$3:$A$157,G44,'2023 Business Log'!$D$3:$D$157,$K$41,'2023 Business Log'!$K$3:$K$157,"Pending")</f>
        <v>#DIV/0!</v>
      </c>
    </row>
    <row r="45" spans="1:11" x14ac:dyDescent="0.2">
      <c r="A45" s="3" t="str">
        <f>'Data Source'!B9</f>
        <v>Mike</v>
      </c>
      <c r="B45" s="244">
        <f>AVERAGEIFS('2023 Business Log'!$P$3:$P$157,'2023 Business Log'!$A$3:$A$157,A45,'2023 Business Log'!$D$3:$D$157,$B$41,'2023 Business Log'!$K$3:$K$157,"Issued")</f>
        <v>17.285714285714285</v>
      </c>
      <c r="C45" s="245">
        <f>AVERAGEIFS('2023 Business Log'!$P$3:$P$157,'2023 Business Log'!$A$3:$A$157,A45,'2023 Business Log'!$D$3:$D$157,$C$41,'2023 Business Log'!$K$3:$K$157,"Issued")</f>
        <v>14.666666666666666</v>
      </c>
      <c r="D45" s="245">
        <f>AVERAGEIFS('2023 Business Log'!$P$3:$P$157,'2023 Business Log'!$A$3:$A$157,A45,'2023 Business Log'!$D$3:$D$157,$D$41,'2023 Business Log'!$K$3:$K$157,"Issued")</f>
        <v>49</v>
      </c>
      <c r="E45" s="246">
        <f>AVERAGEIFS('2023 Business Log'!$P$3:$P$157,'2023 Business Log'!$A$3:$A$157,A45,'2023 Business Log'!$D$3:$D$157,$E$41,'2023 Business Log'!$K$3:$K$157,"Issued")</f>
        <v>5</v>
      </c>
      <c r="F45" s="4"/>
      <c r="G45" s="3" t="str">
        <f>'Data Source'!B9</f>
        <v>Mike</v>
      </c>
      <c r="H45" s="244">
        <f ca="1">AVERAGEIFS('2023 Business Log'!$O$3:$O$157,'2023 Business Log'!$A$3:$A$157,G45,'2023 Business Log'!$D$3:$D$157,$H$41,'2023 Business Log'!$K$3:$K$157,"Pending")</f>
        <v>134</v>
      </c>
      <c r="I45" s="245">
        <f ca="1">AVERAGEIFS('2023 Business Log'!$O$3:$O$157,'2023 Business Log'!$A$3:$A$157,G45,'2023 Business Log'!$D$3:$D$157,$I$41,'2023 Business Log'!$K$3:$K$157,"Pending")</f>
        <v>85</v>
      </c>
      <c r="J45" s="245" t="e">
        <f>AVERAGEIFS('2023 Business Log'!$O$3:$O$157,'2023 Business Log'!$A$3:$A$157,G45,'2023 Business Log'!$D$3:$D$157,$J$41,'2023 Business Log'!$K$3:$K$157,"Pending")</f>
        <v>#DIV/0!</v>
      </c>
      <c r="K45" s="246" t="e">
        <f>AVERAGEIFS('2023 Business Log'!$O$3:$O$157,'2023 Business Log'!$A$3:$A$157,G45,'2023 Business Log'!$D$3:$D$157,$K$41,'2023 Business Log'!$K$3:$K$157,"Pending")</f>
        <v>#DIV/0!</v>
      </c>
    </row>
    <row r="46" spans="1:11" ht="16" x14ac:dyDescent="0.2">
      <c r="A46" s="3">
        <f>'Data Source'!B10</f>
        <v>0</v>
      </c>
      <c r="B46" s="244" t="e">
        <f>AVERAGEIFS('2023 Business Log'!$P$3:$P$157,'2023 Business Log'!$A$3:$A$157,A46,'2023 Business Log'!$D$3:$D$157,$B$41,'2023 Business Log'!$K$3:$K$157,"Issued")</f>
        <v>#DIV/0!</v>
      </c>
      <c r="C46" s="245" t="e">
        <f>AVERAGEIFS('2023 Business Log'!$P$3:$P$157,'2023 Business Log'!$A$3:$A$157,A46,'2023 Business Log'!$D$3:$D$157,$C$41,'2023 Business Log'!$K$3:$K$157,"Issued")</f>
        <v>#DIV/0!</v>
      </c>
      <c r="D46" s="245" t="e">
        <f>AVERAGEIFS('2023 Business Log'!$P$3:$P$157,'2023 Business Log'!$A$3:$A$157,A46,'2023 Business Log'!$D$3:$D$157,$D$41,'2023 Business Log'!$K$3:$K$157,"Issued")</f>
        <v>#DIV/0!</v>
      </c>
      <c r="E46" s="246" t="e">
        <f>AVERAGEIFS('2023 Business Log'!$P$3:$P$157,'2023 Business Log'!$A$3:$A$157,A46,'2023 Business Log'!$D$3:$D$157,$E$41,'2023 Business Log'!$K$3:$K$157,"Issued")</f>
        <v>#DIV/0!</v>
      </c>
      <c r="F46" s="41"/>
      <c r="G46" s="3">
        <f>'Data Source'!B10</f>
        <v>0</v>
      </c>
      <c r="H46" s="244" t="e">
        <f>AVERAGEIFS('2023 Business Log'!$O$3:$O$157,'2023 Business Log'!$A$3:$A$157,G46,'2023 Business Log'!$D$3:$D$157,$H$41,'2023 Business Log'!$K$3:$K$157,"Pending")</f>
        <v>#DIV/0!</v>
      </c>
      <c r="I46" s="245" t="e">
        <f>AVERAGEIFS('2023 Business Log'!$O$3:$O$157,'2023 Business Log'!$A$3:$A$157,G46,'2023 Business Log'!$D$3:$D$157,$I$41,'2023 Business Log'!$K$3:$K$157,"Pending")</f>
        <v>#DIV/0!</v>
      </c>
      <c r="J46" s="245" t="e">
        <f>AVERAGEIFS('2023 Business Log'!$O$3:$O$157,'2023 Business Log'!$A$3:$A$157,G46,'2023 Business Log'!$D$3:$D$157,$J$41,'2023 Business Log'!$K$3:$K$157,"Pending")</f>
        <v>#DIV/0!</v>
      </c>
      <c r="K46" s="246" t="e">
        <f>AVERAGEIFS('2023 Business Log'!$O$3:$O$157,'2023 Business Log'!$A$3:$A$157,G46,'2023 Business Log'!$D$3:$D$157,$K$41,'2023 Business Log'!$K$3:$K$157,"Pending")</f>
        <v>#DIV/0!</v>
      </c>
    </row>
    <row r="47" spans="1:11" ht="16" x14ac:dyDescent="0.2">
      <c r="A47" s="3">
        <f>'Data Source'!B11</f>
        <v>0</v>
      </c>
      <c r="B47" s="244" t="e">
        <f>AVERAGEIFS('2023 Business Log'!$P$3:$P$157,'2023 Business Log'!$A$3:$A$157,A47,'2023 Business Log'!$D$3:$D$157,$B$41,'2023 Business Log'!$K$3:$K$157,"Issued")</f>
        <v>#DIV/0!</v>
      </c>
      <c r="C47" s="245" t="e">
        <f>AVERAGEIFS('2023 Business Log'!$P$3:$P$157,'2023 Business Log'!$A$3:$A$157,A47,'2023 Business Log'!$D$3:$D$157,$C$41,'2023 Business Log'!$K$3:$K$157,"Issued")</f>
        <v>#DIV/0!</v>
      </c>
      <c r="D47" s="245" t="e">
        <f>AVERAGEIFS('2023 Business Log'!$P$3:$P$157,'2023 Business Log'!$A$3:$A$157,A47,'2023 Business Log'!$D$3:$D$157,$D$41,'2023 Business Log'!$K$3:$K$157,"Issued")</f>
        <v>#DIV/0!</v>
      </c>
      <c r="E47" s="246" t="e">
        <f>AVERAGEIFS('2023 Business Log'!$P$3:$P$157,'2023 Business Log'!$A$3:$A$157,A47,'2023 Business Log'!$D$3:$D$157,$E$41,'2023 Business Log'!$K$3:$K$157,"Issued")</f>
        <v>#DIV/0!</v>
      </c>
      <c r="F47" s="41"/>
      <c r="G47" s="3">
        <f>'Data Source'!B11</f>
        <v>0</v>
      </c>
      <c r="H47" s="244" t="e">
        <f>AVERAGEIFS('2023 Business Log'!$O$3:$O$157,'2023 Business Log'!$A$3:$A$157,G47,'2023 Business Log'!$D$3:$D$157,$H$41,'2023 Business Log'!$K$3:$K$157,"Pending")</f>
        <v>#DIV/0!</v>
      </c>
      <c r="I47" s="245" t="e">
        <f>AVERAGEIFS('2023 Business Log'!$O$3:$O$157,'2023 Business Log'!$A$3:$A$157,G47,'2023 Business Log'!$D$3:$D$157,$I$41,'2023 Business Log'!$K$3:$K$157,"Pending")</f>
        <v>#DIV/0!</v>
      </c>
      <c r="J47" s="245" t="e">
        <f>AVERAGEIFS('2023 Business Log'!$O$3:$O$157,'2023 Business Log'!$A$3:$A$157,G47,'2023 Business Log'!$D$3:$D$157,$J$41,'2023 Business Log'!$K$3:$K$157,"Pending")</f>
        <v>#DIV/0!</v>
      </c>
      <c r="K47" s="246" t="e">
        <f>AVERAGEIFS('2023 Business Log'!$O$3:$O$157,'2023 Business Log'!$A$3:$A$157,G47,'2023 Business Log'!$D$3:$D$157,$K$41,'2023 Business Log'!$K$3:$K$157,"Pending")</f>
        <v>#DIV/0!</v>
      </c>
    </row>
    <row r="48" spans="1:11" ht="17" thickBot="1" x14ac:dyDescent="0.25">
      <c r="A48" s="3">
        <f>'Data Source'!B12</f>
        <v>0</v>
      </c>
      <c r="B48" s="244" t="e">
        <f>AVERAGEIFS('2023 Business Log'!$P$3:$P$157,'2023 Business Log'!$A$3:$A$157,A48,'2023 Business Log'!$D$3:$D$157,$B$41,'2023 Business Log'!$K$3:$K$157,"Issued")</f>
        <v>#DIV/0!</v>
      </c>
      <c r="C48" s="245" t="e">
        <f>AVERAGEIFS('2023 Business Log'!$P$3:$P$157,'2023 Business Log'!$A$3:$A$157,A48,'2023 Business Log'!$D$3:$D$157,$C$41,'2023 Business Log'!$K$3:$K$157,"Issued")</f>
        <v>#DIV/0!</v>
      </c>
      <c r="D48" s="245" t="e">
        <f>AVERAGEIFS('2023 Business Log'!$P$3:$P$157,'2023 Business Log'!$A$3:$A$157,A48,'2023 Business Log'!$D$3:$D$157,$D$41,'2023 Business Log'!$K$3:$K$157,"Issued")</f>
        <v>#DIV/0!</v>
      </c>
      <c r="E48" s="246" t="e">
        <f>AVERAGEIFS('2023 Business Log'!$P$3:$P$157,'2023 Business Log'!$A$3:$A$157,A48,'2023 Business Log'!$D$3:$D$157,$E$41,'2023 Business Log'!$K$3:$K$157,"Issued")</f>
        <v>#DIV/0!</v>
      </c>
      <c r="F48" s="41"/>
      <c r="G48" s="3">
        <f>'Data Source'!B12</f>
        <v>0</v>
      </c>
      <c r="H48" s="250" t="e">
        <f>AVERAGEIFS('2023 Business Log'!$O$3:$O$157,'2023 Business Log'!$A$3:$A$157,G48,'2023 Business Log'!$D$3:$D$157,$H$41,'2023 Business Log'!$K$3:$K$157,"Pending")</f>
        <v>#DIV/0!</v>
      </c>
      <c r="I48" s="251" t="e">
        <f>AVERAGEIFS('2023 Business Log'!$O$3:$O$157,'2023 Business Log'!$A$3:$A$157,G48,'2023 Business Log'!$D$3:$D$157,$I$41,'2023 Business Log'!$K$3:$K$157,"Pending")</f>
        <v>#DIV/0!</v>
      </c>
      <c r="J48" s="251" t="e">
        <f>AVERAGEIFS('2023 Business Log'!$O$3:$O$157,'2023 Business Log'!$A$3:$A$157,G48,'2023 Business Log'!$D$3:$D$157,$J$41,'2023 Business Log'!$K$3:$K$157,"Pending")</f>
        <v>#DIV/0!</v>
      </c>
      <c r="K48" s="252" t="e">
        <f>AVERAGEIFS('2023 Business Log'!$O$3:$O$157,'2023 Business Log'!$A$3:$A$157,G48,'2023 Business Log'!$D$3:$D$157,$K$41,'2023 Business Log'!$K$3:$K$157,"Pending")</f>
        <v>#DIV/0!</v>
      </c>
    </row>
    <row r="49" spans="1:11" s="95" customFormat="1" ht="35" thickBot="1" x14ac:dyDescent="0.25">
      <c r="A49" s="40" t="s">
        <v>60</v>
      </c>
      <c r="B49" s="247">
        <f>AVERAGEIFS('2023 Business Log'!$P$3:$P$157,'2023 Business Log'!$D$3:$D$157,$B$41,'2023 Business Log'!$K$3:$K$157,"Issued")</f>
        <v>24.333333333333332</v>
      </c>
      <c r="C49" s="248">
        <f>AVERAGEIFS('2023 Business Log'!$P$3:$P$157,'2023 Business Log'!$D$3:$D$157,$C$41,'2023 Business Log'!$K$3:$K$157,"Issued")</f>
        <v>12</v>
      </c>
      <c r="D49" s="248">
        <f>AVERAGEIFS('2023 Business Log'!$P$3:$P$157,'2023 Business Log'!$D$3:$D$157,$D$41,'2023 Business Log'!$K$3:$K$157,"Issued")</f>
        <v>71.8</v>
      </c>
      <c r="E49" s="249">
        <f>AVERAGEIFS('2023 Business Log'!$P$3:$P$157,'2023 Business Log'!$D$3:$D$157,$E$41,'2023 Business Log'!$K$3:$K$157,"Issued")</f>
        <v>19.5</v>
      </c>
      <c r="G49" s="40" t="s">
        <v>60</v>
      </c>
      <c r="H49" s="253">
        <f ca="1">AVERAGEIFS('2023 Business Log'!$O$3:$O$157,'2023 Business Log'!$D$3:$D$157,$H$41,'2023 Business Log'!$K$3:$K$157,"Pending")</f>
        <v>98</v>
      </c>
      <c r="I49" s="254">
        <f ca="1">AVERAGEIFS('2023 Business Log'!$O$3:$O$157,'2023 Business Log'!$D$3:$D$157,$I$41,'2023 Business Log'!$K$3:$K$157,"Pending")</f>
        <v>101.33333333333333</v>
      </c>
      <c r="J49" s="254">
        <f ca="1">AVERAGEIFS('2023 Business Log'!$O$3:$O$157,'2023 Business Log'!$D$3:$D$157,$J$41,'2023 Business Log'!$K$3:$K$157,"Pending")</f>
        <v>65</v>
      </c>
      <c r="K49" s="255">
        <f ca="1">AVERAGEIFS('2023 Business Log'!$O$3:$O$157,'2023 Business Log'!$D$3:$D$157,$K$41,'2023 Business Log'!$K$3:$K$157,"Pending")</f>
        <v>81</v>
      </c>
    </row>
  </sheetData>
  <sheetProtection sheet="1" objects="1" scenarios="1" selectLockedCells="1"/>
  <mergeCells count="22">
    <mergeCell ref="M5:Q6"/>
    <mergeCell ref="M8:O8"/>
    <mergeCell ref="M9:O9"/>
    <mergeCell ref="M10:O10"/>
    <mergeCell ref="A26:K26"/>
    <mergeCell ref="A15:A16"/>
    <mergeCell ref="B15:F15"/>
    <mergeCell ref="G15:K15"/>
    <mergeCell ref="G40:G41"/>
    <mergeCell ref="H40:K40"/>
    <mergeCell ref="A2:K2"/>
    <mergeCell ref="A3:A4"/>
    <mergeCell ref="B3:F3"/>
    <mergeCell ref="G3:K3"/>
    <mergeCell ref="A14:K14"/>
    <mergeCell ref="A40:A41"/>
    <mergeCell ref="A39:E39"/>
    <mergeCell ref="B40:E40"/>
    <mergeCell ref="A27:A28"/>
    <mergeCell ref="B27:F27"/>
    <mergeCell ref="G27:K27"/>
    <mergeCell ref="G39:K39"/>
  </mergeCells>
  <conditionalFormatting sqref="A5:A11">
    <cfRule type="cellIs" dxfId="24" priority="8" operator="equal">
      <formula>0</formula>
    </cfRule>
  </conditionalFormatting>
  <conditionalFormatting sqref="A17:A23">
    <cfRule type="cellIs" dxfId="23" priority="7" operator="equal">
      <formula>0</formula>
    </cfRule>
  </conditionalFormatting>
  <conditionalFormatting sqref="A29:A35">
    <cfRule type="cellIs" dxfId="22" priority="6" operator="equal">
      <formula>0</formula>
    </cfRule>
  </conditionalFormatting>
  <conditionalFormatting sqref="A42:A48">
    <cfRule type="cellIs" dxfId="21" priority="5" operator="equal">
      <formula>0</formula>
    </cfRule>
  </conditionalFormatting>
  <conditionalFormatting sqref="B42:E49">
    <cfRule type="containsErrors" dxfId="20" priority="1">
      <formula>ISERROR(B42)</formula>
    </cfRule>
  </conditionalFormatting>
  <conditionalFormatting sqref="G42:G48">
    <cfRule type="cellIs" dxfId="19" priority="2" operator="equal">
      <formula>0</formula>
    </cfRule>
  </conditionalFormatting>
  <conditionalFormatting sqref="H42:K49">
    <cfRule type="containsErrors" dxfId="18" priority="4">
      <formula>ISERROR(H42)</formula>
    </cfRule>
  </conditionalFormatting>
  <pageMargins left="0.25" right="0.25" top="0.25" bottom="0.25" header="0.3" footer="0.3"/>
  <pageSetup scale="69" fitToHeight="0" orientation="landscape" verticalDpi="597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97606-34F7-48C7-B90E-863792B9C564}">
  <sheetPr codeName="Sheet2">
    <pageSetUpPr fitToPage="1"/>
  </sheetPr>
  <dimension ref="A1:T49"/>
  <sheetViews>
    <sheetView workbookViewId="0">
      <selection activeCell="R5" sqref="R5"/>
    </sheetView>
  </sheetViews>
  <sheetFormatPr baseColWidth="10" defaultColWidth="8.83203125" defaultRowHeight="15" x14ac:dyDescent="0.2"/>
  <cols>
    <col min="1" max="1" width="7.83203125" bestFit="1" customWidth="1"/>
    <col min="2" max="3" width="13.5" bestFit="1" customWidth="1"/>
    <col min="4" max="4" width="12" bestFit="1" customWidth="1"/>
    <col min="5" max="5" width="10" bestFit="1" customWidth="1"/>
    <col min="6" max="7" width="13.5" bestFit="1" customWidth="1"/>
    <col min="8" max="8" width="12" bestFit="1" customWidth="1"/>
    <col min="9" max="11" width="13.5" bestFit="1" customWidth="1"/>
    <col min="12" max="12" width="4.1640625" customWidth="1"/>
    <col min="17" max="17" width="12.1640625" bestFit="1" customWidth="1"/>
    <col min="19" max="19" width="17.5" bestFit="1" customWidth="1"/>
    <col min="20" max="20" width="10.5" bestFit="1" customWidth="1"/>
  </cols>
  <sheetData>
    <row r="1" spans="1:20" ht="23.5" customHeight="1" thickBot="1" x14ac:dyDescent="0.25">
      <c r="A1" s="259" t="s">
        <v>258</v>
      </c>
      <c r="B1" s="260">
        <f ca="1">TODAY()</f>
        <v>45103</v>
      </c>
      <c r="S1" s="96" t="s">
        <v>237</v>
      </c>
      <c r="T1" s="97">
        <f ca="1">TODAY()</f>
        <v>45103</v>
      </c>
    </row>
    <row r="2" spans="1:20" ht="26" thickBot="1" x14ac:dyDescent="0.25">
      <c r="A2" s="303" t="s">
        <v>214</v>
      </c>
      <c r="B2" s="304"/>
      <c r="C2" s="304"/>
      <c r="D2" s="304"/>
      <c r="E2" s="304"/>
      <c r="F2" s="304"/>
      <c r="G2" s="304"/>
      <c r="H2" s="304"/>
      <c r="I2" s="304"/>
      <c r="J2" s="304"/>
      <c r="K2" s="305"/>
      <c r="S2" s="96" t="s">
        <v>238</v>
      </c>
      <c r="T2" s="97">
        <f ca="1">DATE(YEAR(TODAY()),1,1)</f>
        <v>44927</v>
      </c>
    </row>
    <row r="3" spans="1:20" ht="21" thickBot="1" x14ac:dyDescent="0.25">
      <c r="A3" s="298" t="s">
        <v>35</v>
      </c>
      <c r="B3" s="300" t="s">
        <v>21</v>
      </c>
      <c r="C3" s="301"/>
      <c r="D3" s="301"/>
      <c r="E3" s="301"/>
      <c r="F3" s="302"/>
      <c r="G3" s="300" t="s">
        <v>22</v>
      </c>
      <c r="H3" s="301"/>
      <c r="I3" s="301"/>
      <c r="J3" s="301"/>
      <c r="K3" s="302"/>
    </row>
    <row r="4" spans="1:20" ht="16" thickBot="1" x14ac:dyDescent="0.25">
      <c r="A4" s="299"/>
      <c r="B4" s="99" t="str">
        <f>'Data Source'!A6</f>
        <v>Annuity</v>
      </c>
      <c r="C4" s="100" t="str">
        <f>'Data Source'!A7</f>
        <v>AUM</v>
      </c>
      <c r="D4" s="100" t="str">
        <f>'Data Source'!A8</f>
        <v>Life</v>
      </c>
      <c r="E4" s="100" t="str">
        <f>'Data Source'!A9</f>
        <v>Med Supp</v>
      </c>
      <c r="F4" s="75" t="s">
        <v>25</v>
      </c>
      <c r="G4" s="234" t="str">
        <f>'Data Source'!E6</f>
        <v>Q1</v>
      </c>
      <c r="H4" s="235" t="str">
        <f>'Data Source'!E7</f>
        <v>Q2</v>
      </c>
      <c r="I4" s="235" t="str">
        <f>'Data Source'!E8</f>
        <v>Q3</v>
      </c>
      <c r="J4" s="235" t="str">
        <f>'Data Source'!E9</f>
        <v>Q4</v>
      </c>
      <c r="K4" s="236" t="str">
        <f>'Data Source'!E10</f>
        <v>Prior Yr</v>
      </c>
    </row>
    <row r="5" spans="1:20" x14ac:dyDescent="0.2">
      <c r="A5" s="3" t="str">
        <f>'Data Source'!C6</f>
        <v>HS</v>
      </c>
      <c r="B5" s="21">
        <f>((SUMIFS('2023 Business Log'!$M$3:$M$157,'2023 Business Log'!$R$3:$R$157,A5,'2023 Business Log'!$D$3:$D$157,$B$4,'2023 Business Log'!$K$3:$K$157,"Pending"))+(SUMIFS('2023 Business Log'!$L$3:$L$157,'2023 Business Log'!$R$3:$R$157,A5,'2023 Business Log'!$D$3:$D$157,$B$4,'2023 Business Log'!$K$3:$K$157,"Pending")))</f>
        <v>500000</v>
      </c>
      <c r="C5" s="22">
        <f>((SUMIFS('2023 Business Log'!$M$3:$M$157,'2023 Business Log'!$R$3:$R$157,A5,'2023 Business Log'!$D$3:$D$157,$C$4,'2023 Business Log'!$K$3:$K$157,"Pending"))+(SUMIFS('2023 Business Log'!$L$3:$L$157,'2023 Business Log'!$R$3:$R$157,A5,'2023 Business Log'!$D$3:$D$157,$C$4,'2023 Business Log'!$K$3:$K$157,"Pending")))</f>
        <v>800000</v>
      </c>
      <c r="D5" s="22">
        <f>((SUMIFS('2023 Business Log'!$M$3:$M$157,'2023 Business Log'!$R$3:$R$157,A5,'2023 Business Log'!$D$3:$D$157,$D$4,'2023 Business Log'!$K$3:$K$157,"Pending"))+(SUMIFS('2023 Business Log'!$L$3:$L$157,'2023 Business Log'!$R$3:$R$157,A5,'2023 Business Log'!$D$3:$D$157,$D$4,'2023 Business Log'!$K$3:$K$157,"Pending")))</f>
        <v>0</v>
      </c>
      <c r="E5" s="22">
        <f>((SUMIFS('2023 Business Log'!$M$3:$M$157,'2023 Business Log'!$R$3:$R$157,A5,'2023 Business Log'!$D$3:$D$157,$E$4,'2023 Business Log'!$K$3:$K$157,"Pending"))+(SUMIFS('2023 Business Log'!$L$3:$L$157,'2023 Business Log'!$R$3:$R$157,A5,'2023 Business Log'!$D$3:$D$157,$E$4,'2023 Business Log'!$K$3:$K$157,"Pending")))</f>
        <v>0</v>
      </c>
      <c r="F5" s="73">
        <f t="shared" ref="F5:F12" si="0">SUM(B5:E5)</f>
        <v>1300000</v>
      </c>
      <c r="G5" s="22">
        <f>((SUMIFS('2023 Business Log'!$M$3:$M$157,'2023 Business Log'!$R$3:$R$157,A5,'2023 Business Log'!$T$3:$T$157,$G$4,'2023 Business Log'!$K$3:$K$157,"Pending"))+(SUMIFS('2023 Business Log'!$L$3:$L$157,'2023 Business Log'!$R$3:$R$157,A5,'2023 Business Log'!$T$3:$T$157,$G$4,'2023 Business Log'!$K$3:$K$157,"Pending")))</f>
        <v>0</v>
      </c>
      <c r="H5" s="22">
        <f>((SUMIFS('2023 Business Log'!$M$3:$M$157,'2023 Business Log'!$R$3:$R$157,A5,'2023 Business Log'!$T$3:$T$157,$H$4,'2023 Business Log'!$K$3:$K$157,"Pending"))+(SUMIFS('2023 Business Log'!$L$3:$L$157,'2023 Business Log'!$R$3:$R$157,A5,'2023 Business Log'!$T$3:$T$157,$H$4,'2023 Business Log'!$K$3:$K$157,"Pending")))</f>
        <v>0</v>
      </c>
      <c r="I5" s="22">
        <f>((SUMIFS('2023 Business Log'!$M$3:$M$157,'2023 Business Log'!$R$3:$R$157,A5,'2023 Business Log'!$T$3:$T$157,$I$4,'2023 Business Log'!$K$3:$K$157,"Pending"))+(SUMIFS('2023 Business Log'!$L$3:$L$157,'2023 Business Log'!$R$3:$R$157,A5,'2023 Business Log'!$T$3:$T$157,$I$4,'2023 Business Log'!$K$3:$K$157,"Pending")))</f>
        <v>500000</v>
      </c>
      <c r="J5" s="22">
        <f>((SUMIFS('2023 Business Log'!$M$3:$M$157,'2023 Business Log'!$R$3:$R$157,A5,'2023 Business Log'!$T$3:$T$157,$J$4,'2023 Business Log'!$K$3:$K$157,"Pending"))+(SUMIFS('2023 Business Log'!$L$3:$L$157,'2023 Business Log'!$R$3:$R$157,A5,'2023 Business Log'!$T$3:$T$157,$J$4,'2023 Business Log'!$K$3:$K$157,"Pending")))</f>
        <v>800000</v>
      </c>
      <c r="K5" s="23">
        <f>((SUMIFS('2023 Business Log'!$M$3:$M$157,'2023 Business Log'!$R$3:$R$157,A5,'2023 Business Log'!$T$3:$T$157,$K$4,'2023 Business Log'!$K$3:$K$157,"Pending"))+(SUMIFS('2023 Business Log'!$L$3:$L$157,'2023 Business Log'!$R$3:$R$157,A5,'2023 Business Log'!$T$3:$T$157,$K$4,'2023 Business Log'!$K$3:$K$157,"Pending")))</f>
        <v>0</v>
      </c>
      <c r="M5" s="325">
        <f>'Data Source'!K3</f>
        <v>25000000</v>
      </c>
      <c r="N5" s="326"/>
      <c r="O5" s="326"/>
      <c r="P5" s="326"/>
      <c r="Q5" s="327"/>
    </row>
    <row r="6" spans="1:20" ht="16" thickBot="1" x14ac:dyDescent="0.25">
      <c r="A6" s="3" t="str">
        <f>'Data Source'!C7</f>
        <v>LB</v>
      </c>
      <c r="B6" s="19">
        <f>((SUMIFS('2023 Business Log'!$M$3:$M$157,'2023 Business Log'!$R$3:$R$157,A6,'2023 Business Log'!$D$3:$D$157,$B$4,'2023 Business Log'!$K$3:$K$157,"Pending"))+(SUMIFS('2023 Business Log'!$L$3:$L$157,'2023 Business Log'!$R$3:$R$157,A6,'2023 Business Log'!$D$3:$D$157,$B$4,'2023 Business Log'!$K$3:$K$157,"Pending")))</f>
        <v>50000</v>
      </c>
      <c r="C6" s="20">
        <f>((SUMIFS('2023 Business Log'!$M$3:$M$157,'2023 Business Log'!$R$3:$R$157,A6,'2023 Business Log'!$D$3:$D$157,$C$4,'2023 Business Log'!$K$3:$K$157,"Pending"))+(SUMIFS('2023 Business Log'!$L$3:$L$157,'2023 Business Log'!$R$3:$R$157,A6,'2023 Business Log'!$D$3:$D$157,$C$4,'2023 Business Log'!$K$3:$K$157,"Pending")))</f>
        <v>0</v>
      </c>
      <c r="D6" s="20">
        <f>((SUMIFS('2023 Business Log'!$M$3:$M$157,'2023 Business Log'!$R$3:$R$157,A6,'2023 Business Log'!$D$3:$D$157,$D$4,'2023 Business Log'!$K$3:$K$157,"Pending"))+(SUMIFS('2023 Business Log'!$L$3:$L$157,'2023 Business Log'!$R$3:$R$157,A6,'2023 Business Log'!$D$3:$D$157,$D$4,'2023 Business Log'!$K$3:$K$157,"Pending")))</f>
        <v>0</v>
      </c>
      <c r="E6" s="20">
        <f>((SUMIFS('2023 Business Log'!$M$3:$M$157,'2023 Business Log'!$R$3:$R$157,A6,'2023 Business Log'!$D$3:$D$157,$E$4,'2023 Business Log'!$K$3:$K$157,"Pending"))+(SUMIFS('2023 Business Log'!$L$3:$L$157,'2023 Business Log'!$R$3:$R$157,A6,'2023 Business Log'!$D$3:$D$157,$E$4,'2023 Business Log'!$K$3:$K$157,"Pending")))</f>
        <v>500</v>
      </c>
      <c r="F6" s="43">
        <f t="shared" ref="F6:F11" si="1">SUM(B6:E6)</f>
        <v>50500</v>
      </c>
      <c r="G6" s="20">
        <f>((SUMIFS('2023 Business Log'!$M$3:$M$157,'2023 Business Log'!$R$3:$R$157,A6,'2023 Business Log'!$T$3:$T$157,$G$4,'2023 Business Log'!$K$3:$K$157,"Pending"))+(SUMIFS('2023 Business Log'!$L$3:$L$157,'2023 Business Log'!$R$3:$R$157,A6,'2023 Business Log'!$T$3:$T$157,$G$4,'2023 Business Log'!$K$3:$K$157,"Pending")))</f>
        <v>0</v>
      </c>
      <c r="H6" s="20">
        <f>((SUMIFS('2023 Business Log'!$M$3:$M$157,'2023 Business Log'!$R$3:$R$157,A6,'2023 Business Log'!$T$3:$T$157,$H$4,'2023 Business Log'!$K$3:$K$157,"Pending"))+(SUMIFS('2023 Business Log'!$L$3:$L$157,'2023 Business Log'!$R$3:$R$157,A6,'2023 Business Log'!$T$3:$T$157,$H$4,'2023 Business Log'!$K$3:$K$157,"Pending")))</f>
        <v>0</v>
      </c>
      <c r="I6" s="20">
        <f>((SUMIFS('2023 Business Log'!$M$3:$M$157,'2023 Business Log'!$R$3:$R$157,A6,'2023 Business Log'!$T$3:$T$157,$I$4,'2023 Business Log'!$K$3:$K$157,"Pending"))+(SUMIFS('2023 Business Log'!$L$3:$L$157,'2023 Business Log'!$R$3:$R$157,A6,'2023 Business Log'!$T$3:$T$157,$I$4,'2023 Business Log'!$K$3:$K$157,"Pending")))</f>
        <v>500</v>
      </c>
      <c r="J6" s="20">
        <f>((SUMIFS('2023 Business Log'!$M$3:$M$157,'2023 Business Log'!$R$3:$R$157,A6,'2023 Business Log'!$T$3:$T$157,$J$4,'2023 Business Log'!$K$3:$K$157,"Pending"))+(SUMIFS('2023 Business Log'!$L$3:$L$157,'2023 Business Log'!$R$3:$R$157,A6,'2023 Business Log'!$T$3:$T$157,$J$4,'2023 Business Log'!$K$3:$K$157,"Pending")))</f>
        <v>50000</v>
      </c>
      <c r="K6" s="24">
        <f>((SUMIFS('2023 Business Log'!$M$3:$M$157,'2023 Business Log'!$R$3:$R$157,A6,'2023 Business Log'!$T$3:$T$157,$K$4,'2023 Business Log'!$K$3:$K$157,"Pending"))+(SUMIFS('2023 Business Log'!$L$3:$L$157,'2023 Business Log'!$R$3:$R$157,A6,'2023 Business Log'!$T$3:$T$157,$K$4,'2023 Business Log'!$K$3:$K$157,"Pending")))</f>
        <v>0</v>
      </c>
      <c r="M6" s="328"/>
      <c r="N6" s="329"/>
      <c r="O6" s="329"/>
      <c r="P6" s="329"/>
      <c r="Q6" s="330"/>
    </row>
    <row r="7" spans="1:20" x14ac:dyDescent="0.2">
      <c r="A7" s="3" t="str">
        <f>'Data Source'!C8</f>
        <v>MD</v>
      </c>
      <c r="B7" s="19">
        <f>((SUMIFS('2023 Business Log'!$M$3:$M$157,'2023 Business Log'!$R$3:$R$157,A7,'2023 Business Log'!$D$3:$D$157,$B$4,'2023 Business Log'!$K$3:$K$157,"Pending"))+(SUMIFS('2023 Business Log'!$L$3:$L$157,'2023 Business Log'!$R$3:$R$157,A7,'2023 Business Log'!$D$3:$D$157,$B$4,'2023 Business Log'!$K$3:$K$157,"Pending")))</f>
        <v>500000</v>
      </c>
      <c r="C7" s="20">
        <f>((SUMIFS('2023 Business Log'!$M$3:$M$157,'2023 Business Log'!$R$3:$R$157,A7,'2023 Business Log'!$D$3:$D$157,$C$4,'2023 Business Log'!$K$3:$K$157,"Pending"))+(SUMIFS('2023 Business Log'!$L$3:$L$157,'2023 Business Log'!$R$3:$R$157,A7,'2023 Business Log'!$D$3:$D$157,$C$4,'2023 Business Log'!$K$3:$K$157,"Pending")))</f>
        <v>125000</v>
      </c>
      <c r="D7" s="20">
        <f>((SUMIFS('2023 Business Log'!$M$3:$M$157,'2023 Business Log'!$R$3:$R$157,A7,'2023 Business Log'!$D$3:$D$157,$D$4,'2023 Business Log'!$K$3:$K$157,"Pending"))+(SUMIFS('2023 Business Log'!$L$3:$L$157,'2023 Business Log'!$R$3:$R$157,A7,'2023 Business Log'!$D$3:$D$157,$D$4,'2023 Business Log'!$K$3:$K$157,"Pending")))</f>
        <v>15000</v>
      </c>
      <c r="E7" s="20">
        <f>((SUMIFS('2023 Business Log'!$M$3:$M$157,'2023 Business Log'!$R$3:$R$157,A7,'2023 Business Log'!$D$3:$D$157,$E$4,'2023 Business Log'!$K$3:$K$157,"Pending"))+(SUMIFS('2023 Business Log'!$L$3:$L$157,'2023 Business Log'!$R$3:$R$157,A7,'2023 Business Log'!$D$3:$D$157,$E$4,'2023 Business Log'!$K$3:$K$157,"Pending")))</f>
        <v>0</v>
      </c>
      <c r="F7" s="43">
        <f t="shared" si="1"/>
        <v>640000</v>
      </c>
      <c r="G7" s="20">
        <f>((SUMIFS('2023 Business Log'!$M$3:$M$157,'2023 Business Log'!$R$3:$R$157,A7,'2023 Business Log'!$T$3:$T$157,$G$4,'2023 Business Log'!$K$3:$K$157,"Pending"))+(SUMIFS('2023 Business Log'!$L$3:$L$157,'2023 Business Log'!$R$3:$R$157,A7,'2023 Business Log'!$T$3:$T$157,$G$4,'2023 Business Log'!$K$3:$K$157,"Pending")))</f>
        <v>0</v>
      </c>
      <c r="H7" s="20">
        <f>((SUMIFS('2023 Business Log'!$M$3:$M$157,'2023 Business Log'!$R$3:$R$157,A7,'2023 Business Log'!$T$3:$T$157,$H$4,'2023 Business Log'!$K$3:$K$157,"Pending"))+(SUMIFS('2023 Business Log'!$L$3:$L$157,'2023 Business Log'!$R$3:$R$157,A7,'2023 Business Log'!$T$3:$T$157,$H$4,'2023 Business Log'!$K$3:$K$157,"Pending")))</f>
        <v>15000</v>
      </c>
      <c r="I7" s="20">
        <f>((SUMIFS('2023 Business Log'!$M$3:$M$157,'2023 Business Log'!$R$3:$R$157,A7,'2023 Business Log'!$T$3:$T$157,$I$4,'2023 Business Log'!$K$3:$K$157,"Pending"))+(SUMIFS('2023 Business Log'!$L$3:$L$157,'2023 Business Log'!$R$3:$R$157,A7,'2023 Business Log'!$T$3:$T$157,$I$4,'2023 Business Log'!$K$3:$K$157,"Pending")))</f>
        <v>0</v>
      </c>
      <c r="J7" s="20">
        <f>((SUMIFS('2023 Business Log'!$M$3:$M$157,'2023 Business Log'!$R$3:$R$157,A7,'2023 Business Log'!$T$3:$T$157,$J$4,'2023 Business Log'!$K$3:$K$157,"Pending"))+(SUMIFS('2023 Business Log'!$L$3:$L$157,'2023 Business Log'!$R$3:$R$157,A7,'2023 Business Log'!$T$3:$T$157,$J$4,'2023 Business Log'!$K$3:$K$157,"Pending")))</f>
        <v>625000</v>
      </c>
      <c r="K7" s="24">
        <f>((SUMIFS('2023 Business Log'!$M$3:$M$157,'2023 Business Log'!$R$3:$R$157,A7,'2023 Business Log'!$T$3:$T$157,$K$4,'2023 Business Log'!$K$3:$K$157,"Pending"))+(SUMIFS('2023 Business Log'!$L$3:$L$157,'2023 Business Log'!$R$3:$R$157,A7,'2023 Business Log'!$T$3:$T$157,$K$4,'2023 Business Log'!$K$3:$K$157,"Pending")))</f>
        <v>0</v>
      </c>
    </row>
    <row r="8" spans="1:20" x14ac:dyDescent="0.2">
      <c r="A8" s="3" t="str">
        <f>'Data Source'!C9</f>
        <v>RD</v>
      </c>
      <c r="B8" s="19">
        <f>((SUMIFS('2023 Business Log'!$M$3:$M$157,'2023 Business Log'!$R$3:$R$157,A8,'2023 Business Log'!$D$3:$D$157,$B$4,'2023 Business Log'!$K$3:$K$157,"Pending"))+(SUMIFS('2023 Business Log'!$L$3:$L$157,'2023 Business Log'!$R$3:$R$157,A8,'2023 Business Log'!$D$3:$D$157,$B$4,'2023 Business Log'!$K$3:$K$157,"Pending")))</f>
        <v>0</v>
      </c>
      <c r="C8" s="20">
        <f>((SUMIFS('2023 Business Log'!$M$3:$M$157,'2023 Business Log'!$R$3:$R$157,A8,'2023 Business Log'!$D$3:$D$157,$C$4,'2023 Business Log'!$K$3:$K$157,"Pending"))+(SUMIFS('2023 Business Log'!$L$3:$L$157,'2023 Business Log'!$R$3:$R$157,A8,'2023 Business Log'!$D$3:$D$157,$C$4,'2023 Business Log'!$K$3:$K$157,"Pending")))</f>
        <v>50000</v>
      </c>
      <c r="D8" s="20">
        <f>((SUMIFS('2023 Business Log'!$M$3:$M$157,'2023 Business Log'!$R$3:$R$157,A8,'2023 Business Log'!$D$3:$D$157,$D$4,'2023 Business Log'!$K$3:$K$157,"Pending"))+(SUMIFS('2023 Business Log'!$L$3:$L$157,'2023 Business Log'!$R$3:$R$157,A8,'2023 Business Log'!$D$3:$D$157,$D$4,'2023 Business Log'!$K$3:$K$157,"Pending")))</f>
        <v>0</v>
      </c>
      <c r="E8" s="20">
        <f>((SUMIFS('2023 Business Log'!$M$3:$M$157,'2023 Business Log'!$R$3:$R$157,A8,'2023 Business Log'!$D$3:$D$157,$E$4,'2023 Business Log'!$K$3:$K$157,"Pending"))+(SUMIFS('2023 Business Log'!$L$3:$L$157,'2023 Business Log'!$R$3:$R$157,A8,'2023 Business Log'!$D$3:$D$157,$E$4,'2023 Business Log'!$K$3:$K$157,"Pending")))</f>
        <v>0</v>
      </c>
      <c r="F8" s="43">
        <f t="shared" si="1"/>
        <v>50000</v>
      </c>
      <c r="G8" s="20">
        <f>((SUMIFS('2023 Business Log'!$M$3:$M$157,'2023 Business Log'!$R$3:$R$157,A8,'2023 Business Log'!$T$3:$T$157,$G$4,'2023 Business Log'!$K$3:$K$157,"Pending"))+(SUMIFS('2023 Business Log'!$L$3:$L$157,'2023 Business Log'!$R$3:$R$157,A8,'2023 Business Log'!$T$3:$T$157,$G$4,'2023 Business Log'!$K$3:$K$157,"Pending")))</f>
        <v>0</v>
      </c>
      <c r="H8" s="20">
        <f>((SUMIFS('2023 Business Log'!$M$3:$M$157,'2023 Business Log'!$R$3:$R$157,A8,'2023 Business Log'!$T$3:$T$157,$H$4,'2023 Business Log'!$K$3:$K$157,"Pending"))+(SUMIFS('2023 Business Log'!$L$3:$L$157,'2023 Business Log'!$R$3:$R$157,A8,'2023 Business Log'!$T$3:$T$157,$H$4,'2023 Business Log'!$K$3:$K$157,"Pending")))</f>
        <v>0</v>
      </c>
      <c r="I8" s="20">
        <f>((SUMIFS('2023 Business Log'!$M$3:$M$157,'2023 Business Log'!$R$3:$R$157,A8,'2023 Business Log'!$T$3:$T$157,$I$4,'2023 Business Log'!$K$3:$K$157,"Pending"))+(SUMIFS('2023 Business Log'!$L$3:$L$157,'2023 Business Log'!$R$3:$R$157,A8,'2023 Business Log'!$T$3:$T$157,$I$4,'2023 Business Log'!$K$3:$K$157,"Pending")))</f>
        <v>0</v>
      </c>
      <c r="J8" s="20">
        <f>((SUMIFS('2023 Business Log'!$M$3:$M$157,'2023 Business Log'!$R$3:$R$157,A8,'2023 Business Log'!$T$3:$T$157,$J$4,'2023 Business Log'!$K$3:$K$157,"Pending"))+(SUMIFS('2023 Business Log'!$L$3:$L$157,'2023 Business Log'!$R$3:$R$157,A8,'2023 Business Log'!$T$3:$T$157,$J$4,'2023 Business Log'!$K$3:$K$157,"Pending")))</f>
        <v>50000</v>
      </c>
      <c r="K8" s="24">
        <f>((SUMIFS('2023 Business Log'!$M$3:$M$157,'2023 Business Log'!$R$3:$R$157,A8,'2023 Business Log'!$T$3:$T$157,$K$4,'2023 Business Log'!$K$3:$K$157,"Pending"))+(SUMIFS('2023 Business Log'!$L$3:$L$157,'2023 Business Log'!$R$3:$R$157,A8,'2023 Business Log'!$T$3:$T$157,$K$4,'2023 Business Log'!$K$3:$K$157,"Pending")))</f>
        <v>0</v>
      </c>
      <c r="M8" s="331" t="s">
        <v>57</v>
      </c>
      <c r="N8" s="331"/>
      <c r="O8" s="331"/>
      <c r="P8" s="98">
        <f ca="1">YEARFRAC(T2,T1,1)</f>
        <v>0.48219178082191783</v>
      </c>
      <c r="Q8" s="7">
        <f ca="1">M5*P8</f>
        <v>12054794.520547945</v>
      </c>
    </row>
    <row r="9" spans="1:20" x14ac:dyDescent="0.2">
      <c r="A9" s="3">
        <f>'Data Source'!C10</f>
        <v>0</v>
      </c>
      <c r="B9" s="19">
        <f>((SUMIFS('2023 Business Log'!$M$3:$M$157,'2023 Business Log'!$R$3:$R$157,A9,'2023 Business Log'!$D$3:$D$157,$B$4,'2023 Business Log'!$K$3:$K$157,"Pending"))+(SUMIFS('2023 Business Log'!$L$3:$L$157,'2023 Business Log'!$R$3:$R$157,A9,'2023 Business Log'!$D$3:$D$157,$B$4,'2023 Business Log'!$K$3:$K$157,"Pending")))</f>
        <v>0</v>
      </c>
      <c r="C9" s="20">
        <f>((SUMIFS('2023 Business Log'!$M$3:$M$157,'2023 Business Log'!$R$3:$R$157,A9,'2023 Business Log'!$D$3:$D$157,$C$4,'2023 Business Log'!$K$3:$K$157,"Pending"))+(SUMIFS('2023 Business Log'!$L$3:$L$157,'2023 Business Log'!$R$3:$R$157,A9,'2023 Business Log'!$D$3:$D$157,$C$4,'2023 Business Log'!$K$3:$K$157,"Pending")))</f>
        <v>0</v>
      </c>
      <c r="D9" s="20">
        <f>((SUMIFS('2023 Business Log'!$M$3:$M$157,'2023 Business Log'!$R$3:$R$157,A9,'2023 Business Log'!$D$3:$D$157,$D$4,'2023 Business Log'!$K$3:$K$157,"Pending"))+(SUMIFS('2023 Business Log'!$L$3:$L$157,'2023 Business Log'!$R$3:$R$157,A9,'2023 Business Log'!$D$3:$D$157,$D$4,'2023 Business Log'!$K$3:$K$157,"Pending")))</f>
        <v>0</v>
      </c>
      <c r="E9" s="20">
        <f>((SUMIFS('2023 Business Log'!$M$3:$M$157,'2023 Business Log'!$R$3:$R$157,A9,'2023 Business Log'!$D$3:$D$157,$E$4,'2023 Business Log'!$K$3:$K$157,"Pending"))+(SUMIFS('2023 Business Log'!$L$3:$L$157,'2023 Business Log'!$R$3:$R$157,A9,'2023 Business Log'!$D$3:$D$157,$E$4,'2023 Business Log'!$K$3:$K$157,"Pending")))</f>
        <v>0</v>
      </c>
      <c r="F9" s="43">
        <f t="shared" si="1"/>
        <v>0</v>
      </c>
      <c r="G9" s="20">
        <f>((SUMIFS('2023 Business Log'!$M$3:$M$157,'2023 Business Log'!$R$3:$R$157,A9,'2023 Business Log'!$T$3:$T$157,$G$4,'2023 Business Log'!$K$3:$K$157,"Pending"))+(SUMIFS('2023 Business Log'!$L$3:$L$157,'2023 Business Log'!$R$3:$R$157,A9,'2023 Business Log'!$T$3:$T$157,$G$4,'2023 Business Log'!$K$3:$K$157,"Pending")))</f>
        <v>0</v>
      </c>
      <c r="H9" s="20">
        <f>((SUMIFS('2023 Business Log'!$M$3:$M$157,'2023 Business Log'!$R$3:$R$157,A9,'2023 Business Log'!$T$3:$T$157,$H$4,'2023 Business Log'!$K$3:$K$157,"Pending"))+(SUMIFS('2023 Business Log'!$L$3:$L$157,'2023 Business Log'!$R$3:$R$157,A9,'2023 Business Log'!$T$3:$T$157,$H$4,'2023 Business Log'!$K$3:$K$157,"Pending")))</f>
        <v>0</v>
      </c>
      <c r="I9" s="20">
        <f>((SUMIFS('2023 Business Log'!$M$3:$M$157,'2023 Business Log'!$R$3:$R$157,A9,'2023 Business Log'!$T$3:$T$157,$I$4,'2023 Business Log'!$K$3:$K$157,"Pending"))+(SUMIFS('2023 Business Log'!$L$3:$L$157,'2023 Business Log'!$R$3:$R$157,A9,'2023 Business Log'!$T$3:$T$157,$I$4,'2023 Business Log'!$K$3:$K$157,"Pending")))</f>
        <v>0</v>
      </c>
      <c r="J9" s="20">
        <f>((SUMIFS('2023 Business Log'!$M$3:$M$157,'2023 Business Log'!$R$3:$R$157,A9,'2023 Business Log'!$T$3:$T$157,$J$4,'2023 Business Log'!$K$3:$K$157,"Pending"))+(SUMIFS('2023 Business Log'!$L$3:$L$157,'2023 Business Log'!$R$3:$R$157,A9,'2023 Business Log'!$T$3:$T$157,$J$4,'2023 Business Log'!$K$3:$K$157,"Pending")))</f>
        <v>0</v>
      </c>
      <c r="K9" s="24">
        <f>((SUMIFS('2023 Business Log'!$M$3:$M$157,'2023 Business Log'!$R$3:$R$157,A9,'2023 Business Log'!$T$3:$T$157,$K$4,'2023 Business Log'!$K$3:$K$157,"Pending"))+(SUMIFS('2023 Business Log'!$L$3:$L$157,'2023 Business Log'!$R$3:$R$157,A9,'2023 Business Log'!$T$3:$T$157,$K$4,'2023 Business Log'!$K$3:$K$157,"Pending")))</f>
        <v>0</v>
      </c>
      <c r="M9" s="331" t="s">
        <v>58</v>
      </c>
      <c r="N9" s="331"/>
      <c r="O9" s="331"/>
      <c r="P9" s="8">
        <f>$Q$9/$M$5</f>
        <v>0.34622521000000001</v>
      </c>
      <c r="Q9" s="7">
        <f>F24+F12-K24</f>
        <v>8655630.25</v>
      </c>
    </row>
    <row r="10" spans="1:20" x14ac:dyDescent="0.2">
      <c r="A10" s="3">
        <f>'Data Source'!C11</f>
        <v>0</v>
      </c>
      <c r="B10" s="19">
        <f>((SUMIFS('2023 Business Log'!$M$3:$M$157,'2023 Business Log'!$R$3:$R$157,A10,'2023 Business Log'!$D$3:$D$157,$B$4,'2023 Business Log'!$K$3:$K$157,"Pending"))+(SUMIFS('2023 Business Log'!$L$3:$L$157,'2023 Business Log'!$R$3:$R$157,A10,'2023 Business Log'!$D$3:$D$157,$B$4,'2023 Business Log'!$K$3:$K$157,"Pending")))</f>
        <v>0</v>
      </c>
      <c r="C10" s="20">
        <f>((SUMIFS('2023 Business Log'!$M$3:$M$157,'2023 Business Log'!$R$3:$R$157,A10,'2023 Business Log'!$D$3:$D$157,$C$4,'2023 Business Log'!$K$3:$K$157,"Pending"))+(SUMIFS('2023 Business Log'!$L$3:$L$157,'2023 Business Log'!$R$3:$R$157,A10,'2023 Business Log'!$D$3:$D$157,$C$4,'2023 Business Log'!$K$3:$K$157,"Pending")))</f>
        <v>0</v>
      </c>
      <c r="D10" s="20">
        <f>((SUMIFS('2023 Business Log'!$M$3:$M$157,'2023 Business Log'!$R$3:$R$157,A10,'2023 Business Log'!$D$3:$D$157,$D$4,'2023 Business Log'!$K$3:$K$157,"Pending"))+(SUMIFS('2023 Business Log'!$L$3:$L$157,'2023 Business Log'!$R$3:$R$157,A10,'2023 Business Log'!$D$3:$D$157,$D$4,'2023 Business Log'!$K$3:$K$157,"Pending")))</f>
        <v>0</v>
      </c>
      <c r="E10" s="20">
        <f>((SUMIFS('2023 Business Log'!$M$3:$M$157,'2023 Business Log'!$R$3:$R$157,A10,'2023 Business Log'!$D$3:$D$157,$E$4,'2023 Business Log'!$K$3:$K$157,"Pending"))+(SUMIFS('2023 Business Log'!$L$3:$L$157,'2023 Business Log'!$R$3:$R$157,A10,'2023 Business Log'!$D$3:$D$157,$E$4,'2023 Business Log'!$K$3:$K$157,"Pending")))</f>
        <v>0</v>
      </c>
      <c r="F10" s="43">
        <f t="shared" si="1"/>
        <v>0</v>
      </c>
      <c r="G10" s="20">
        <f>((SUMIFS('2023 Business Log'!$M$3:$M$157,'2023 Business Log'!$R$3:$R$157,A10,'2023 Business Log'!$T$3:$T$157,$G$4,'2023 Business Log'!$K$3:$K$157,"Pending"))+(SUMIFS('2023 Business Log'!$L$3:$L$157,'2023 Business Log'!$R$3:$R$157,A10,'2023 Business Log'!$T$3:$T$157,$G$4,'2023 Business Log'!$K$3:$K$157,"Pending")))</f>
        <v>0</v>
      </c>
      <c r="H10" s="20">
        <f>((SUMIFS('2023 Business Log'!$M$3:$M$157,'2023 Business Log'!$R$3:$R$157,A10,'2023 Business Log'!$T$3:$T$157,$H$4,'2023 Business Log'!$K$3:$K$157,"Pending"))+(SUMIFS('2023 Business Log'!$L$3:$L$157,'2023 Business Log'!$R$3:$R$157,A10,'2023 Business Log'!$T$3:$T$157,$H$4,'2023 Business Log'!$K$3:$K$157,"Pending")))</f>
        <v>0</v>
      </c>
      <c r="I10" s="20">
        <f>((SUMIFS('2023 Business Log'!$M$3:$M$157,'2023 Business Log'!$R$3:$R$157,A10,'2023 Business Log'!$T$3:$T$157,$I$4,'2023 Business Log'!$K$3:$K$157,"Pending"))+(SUMIFS('2023 Business Log'!$L$3:$L$157,'2023 Business Log'!$R$3:$R$157,A10,'2023 Business Log'!$T$3:$T$157,$I$4,'2023 Business Log'!$K$3:$K$157,"Pending")))</f>
        <v>0</v>
      </c>
      <c r="J10" s="20">
        <f>((SUMIFS('2023 Business Log'!$M$3:$M$157,'2023 Business Log'!$R$3:$R$157,A10,'2023 Business Log'!$T$3:$T$157,$J$4,'2023 Business Log'!$K$3:$K$157,"Pending"))+(SUMIFS('2023 Business Log'!$L$3:$L$157,'2023 Business Log'!$R$3:$R$157,A10,'2023 Business Log'!$T$3:$T$157,$J$4,'2023 Business Log'!$K$3:$K$157,"Pending")))</f>
        <v>0</v>
      </c>
      <c r="K10" s="24">
        <f>((SUMIFS('2023 Business Log'!$M$3:$M$157,'2023 Business Log'!$R$3:$R$157,A10,'2023 Business Log'!$T$3:$T$157,$K$4,'2023 Business Log'!$K$3:$K$157,"Pending"))+(SUMIFS('2023 Business Log'!$L$3:$L$157,'2023 Business Log'!$R$3:$R$157,A10,'2023 Business Log'!$T$3:$T$157,$K$4,'2023 Business Log'!$K$3:$K$157,"Pending")))</f>
        <v>0</v>
      </c>
      <c r="M10" s="331" t="s">
        <v>59</v>
      </c>
      <c r="N10" s="331"/>
      <c r="O10" s="331"/>
      <c r="P10" s="98">
        <f ca="1">(Q9/Q8)-1</f>
        <v>-0.28197612698863639</v>
      </c>
      <c r="Q10" s="9">
        <f ca="1">Q9-Q8</f>
        <v>-3399164.2705479451</v>
      </c>
    </row>
    <row r="11" spans="1:20" ht="16" thickBot="1" x14ac:dyDescent="0.25">
      <c r="A11" s="3">
        <f>'Data Source'!C12</f>
        <v>0</v>
      </c>
      <c r="B11" s="25">
        <f>((SUMIFS('2023 Business Log'!$M$3:$M$157,'2023 Business Log'!$R$3:$R$157,A11,'2023 Business Log'!$D$3:$D$157,$B$4,'2023 Business Log'!$K$3:$K$157,"Pending"))+(SUMIFS('2023 Business Log'!$L$3:$L$157,'2023 Business Log'!$R$3:$R$157,A11,'2023 Business Log'!$D$3:$D$157,$B$4,'2023 Business Log'!$K$3:$K$157,"Pending")))</f>
        <v>0</v>
      </c>
      <c r="C11" s="26">
        <f>((SUMIFS('2023 Business Log'!$M$3:$M$157,'2023 Business Log'!$R$3:$R$157,A11,'2023 Business Log'!$D$3:$D$157,$C$4,'2023 Business Log'!$K$3:$K$157,"Pending"))+(SUMIFS('2023 Business Log'!$L$3:$L$157,'2023 Business Log'!$R$3:$R$157,A11,'2023 Business Log'!$D$3:$D$157,$C$4,'2023 Business Log'!$K$3:$K$157,"Pending")))</f>
        <v>0</v>
      </c>
      <c r="D11" s="26">
        <f>((SUMIFS('2023 Business Log'!$M$3:$M$157,'2023 Business Log'!$R$3:$R$157,A11,'2023 Business Log'!$D$3:$D$157,$D$4,'2023 Business Log'!$K$3:$K$157,"Pending"))+(SUMIFS('2023 Business Log'!$L$3:$L$157,'2023 Business Log'!$R$3:$R$157,A11,'2023 Business Log'!$D$3:$D$157,$D$4,'2023 Business Log'!$K$3:$K$157,"Pending")))</f>
        <v>0</v>
      </c>
      <c r="E11" s="26">
        <f>((SUMIFS('2023 Business Log'!$M$3:$M$157,'2023 Business Log'!$R$3:$R$157,A11,'2023 Business Log'!$D$3:$D$157,$E$4,'2023 Business Log'!$K$3:$K$157,"Pending"))+(SUMIFS('2023 Business Log'!$L$3:$L$157,'2023 Business Log'!$R$3:$R$157,A11,'2023 Business Log'!$D$3:$D$157,$E$4,'2023 Business Log'!$K$3:$K$157,"Pending")))</f>
        <v>0</v>
      </c>
      <c r="F11" s="74">
        <f t="shared" si="1"/>
        <v>0</v>
      </c>
      <c r="G11" s="26">
        <f>((SUMIFS('2023 Business Log'!$M$3:$M$157,'2023 Business Log'!$R$3:$R$157,A11,'2023 Business Log'!$T$3:$T$157,$G$4,'2023 Business Log'!$K$3:$K$157,"Pending"))+(SUMIFS('2023 Business Log'!$L$3:$L$157,'2023 Business Log'!$R$3:$R$157,A11,'2023 Business Log'!$T$3:$T$157,$G$4,'2023 Business Log'!$K$3:$K$157,"Pending")))</f>
        <v>0</v>
      </c>
      <c r="H11" s="26">
        <f>((SUMIFS('2023 Business Log'!$M$3:$M$157,'2023 Business Log'!$R$3:$R$157,A11,'2023 Business Log'!$T$3:$T$157,$H$4,'2023 Business Log'!$K$3:$K$157,"Pending"))+(SUMIFS('2023 Business Log'!$L$3:$L$157,'2023 Business Log'!$R$3:$R$157,A11,'2023 Business Log'!$T$3:$T$157,$H$4,'2023 Business Log'!$K$3:$K$157,"Pending")))</f>
        <v>0</v>
      </c>
      <c r="I11" s="26">
        <f>((SUMIFS('2023 Business Log'!$M$3:$M$157,'2023 Business Log'!$R$3:$R$157,A11,'2023 Business Log'!$T$3:$T$157,$I$4,'2023 Business Log'!$K$3:$K$157,"Pending"))+(SUMIFS('2023 Business Log'!$L$3:$L$157,'2023 Business Log'!$R$3:$R$157,A11,'2023 Business Log'!$T$3:$T$157,$I$4,'2023 Business Log'!$K$3:$K$157,"Pending")))</f>
        <v>0</v>
      </c>
      <c r="J11" s="26">
        <f>((SUMIFS('2023 Business Log'!$M$3:$M$157,'2023 Business Log'!$R$3:$R$157,A11,'2023 Business Log'!$T$3:$T$157,$J$4,'2023 Business Log'!$K$3:$K$157,"Pending"))+(SUMIFS('2023 Business Log'!$L$3:$L$157,'2023 Business Log'!$R$3:$R$157,A11,'2023 Business Log'!$T$3:$T$157,$J$4,'2023 Business Log'!$K$3:$K$157,"Pending")))</f>
        <v>0</v>
      </c>
      <c r="K11" s="27">
        <f>((SUMIFS('2023 Business Log'!$M$3:$M$157,'2023 Business Log'!$R$3:$R$157,A11,'2023 Business Log'!$T$3:$T$157,$K$4,'2023 Business Log'!$K$3:$K$157,"Pending"))+(SUMIFS('2023 Business Log'!$L$3:$L$157,'2023 Business Log'!$R$3:$R$157,A11,'2023 Business Log'!$T$3:$T$157,$K$4,'2023 Business Log'!$K$3:$K$157,"Pending")))</f>
        <v>0</v>
      </c>
    </row>
    <row r="12" spans="1:20" ht="17" thickBot="1" x14ac:dyDescent="0.25">
      <c r="A12" s="5" t="s">
        <v>34</v>
      </c>
      <c r="B12" s="28">
        <f>SUM(B5:B8)</f>
        <v>1050000</v>
      </c>
      <c r="C12" s="29">
        <f>SUM(C5:C8)</f>
        <v>975000</v>
      </c>
      <c r="D12" s="29">
        <f>SUM(D5:D8)</f>
        <v>15000</v>
      </c>
      <c r="E12" s="29">
        <f>SUM(E5:E8)</f>
        <v>500</v>
      </c>
      <c r="F12" s="72">
        <f t="shared" si="0"/>
        <v>2040500</v>
      </c>
      <c r="G12" s="29">
        <f>SUM(G5:G8)</f>
        <v>0</v>
      </c>
      <c r="H12" s="29">
        <f>SUM(H5:H8)</f>
        <v>15000</v>
      </c>
      <c r="I12" s="29">
        <f>SUM(I5:I8)</f>
        <v>500500</v>
      </c>
      <c r="J12" s="37">
        <f>SUM(J5:J8)</f>
        <v>1525000</v>
      </c>
      <c r="K12" s="38">
        <f>SUM(K5:K8)</f>
        <v>0</v>
      </c>
    </row>
    <row r="13" spans="1:20" ht="16" thickBot="1" x14ac:dyDescent="0.25"/>
    <row r="14" spans="1:20" ht="26" thickBot="1" x14ac:dyDescent="0.3">
      <c r="A14" s="306" t="s">
        <v>212</v>
      </c>
      <c r="B14" s="307"/>
      <c r="C14" s="307"/>
      <c r="D14" s="307"/>
      <c r="E14" s="307"/>
      <c r="F14" s="307"/>
      <c r="G14" s="307"/>
      <c r="H14" s="307"/>
      <c r="I14" s="307"/>
      <c r="J14" s="307"/>
      <c r="K14" s="308"/>
    </row>
    <row r="15" spans="1:20" ht="21" thickBot="1" x14ac:dyDescent="0.25">
      <c r="A15" s="309" t="s">
        <v>35</v>
      </c>
      <c r="B15" s="311" t="s">
        <v>21</v>
      </c>
      <c r="C15" s="312"/>
      <c r="D15" s="312"/>
      <c r="E15" s="312"/>
      <c r="F15" s="313"/>
      <c r="G15" s="311" t="s">
        <v>22</v>
      </c>
      <c r="H15" s="312"/>
      <c r="I15" s="312"/>
      <c r="J15" s="312"/>
      <c r="K15" s="313"/>
    </row>
    <row r="16" spans="1:20" ht="21" customHeight="1" thickBot="1" x14ac:dyDescent="0.25">
      <c r="A16" s="310"/>
      <c r="B16" s="99" t="str">
        <f>'Data Source'!A6</f>
        <v>Annuity</v>
      </c>
      <c r="C16" s="100" t="str">
        <f>'Data Source'!A7</f>
        <v>AUM</v>
      </c>
      <c r="D16" s="100" t="str">
        <f>'Data Source'!A8</f>
        <v>Life</v>
      </c>
      <c r="E16" s="100" t="str">
        <f>'Data Source'!A9</f>
        <v>Med Supp</v>
      </c>
      <c r="F16" s="101" t="s">
        <v>25</v>
      </c>
      <c r="G16" s="234" t="str">
        <f>'Data Source'!E6</f>
        <v>Q1</v>
      </c>
      <c r="H16" s="235" t="str">
        <f>'Data Source'!E7</f>
        <v>Q2</v>
      </c>
      <c r="I16" s="235" t="str">
        <f>'Data Source'!E8</f>
        <v>Q3</v>
      </c>
      <c r="J16" s="235" t="str">
        <f>'Data Source'!E9</f>
        <v>Q4</v>
      </c>
      <c r="K16" s="236" t="str">
        <f>'Data Source'!E10</f>
        <v>Prior Yr</v>
      </c>
    </row>
    <row r="17" spans="1:12" x14ac:dyDescent="0.2">
      <c r="A17" s="3" t="str">
        <f>'Data Source'!C6</f>
        <v>HS</v>
      </c>
      <c r="B17" s="21">
        <f>(SUMIFS('2023 Business Log'!$N$3:$N$157,'2023 Business Log'!$R$3:$R$157,A17,'2023 Business Log'!$D$3:$D$157,$B$16,'2023 Business Log'!$K$3:$K$157,"Issued"))</f>
        <v>1150000</v>
      </c>
      <c r="C17" s="22">
        <f>(SUMIFS('2023 Business Log'!$N$3:$N$157,'2023 Business Log'!$R$3:$R$157,A17,'2023 Business Log'!$D$3:$D$157,$C$16,'2023 Business Log'!$K$3:$K$157,"Issued"))</f>
        <v>3600000</v>
      </c>
      <c r="D17" s="22">
        <f>(SUMIFS('2023 Business Log'!$N$3:$N$157,'2023 Business Log'!$R$3:$R$157,A17,'2023 Business Log'!$D$3:$D$157,$D$16,'2023 Business Log'!$K$3:$K$157,"Issued"))</f>
        <v>20000</v>
      </c>
      <c r="E17" s="22">
        <f>(SUMIFS('2023 Business Log'!$N$3:$N$157,'2023 Business Log'!$R$3:$R$157,A17,'2023 Business Log'!$D$3:$D$157,$E$16,'2023 Business Log'!$K$3:$K$157,"Issued"))</f>
        <v>0</v>
      </c>
      <c r="F17" s="73">
        <f t="shared" ref="F17:F24" si="2">SUM(B17:E17)</f>
        <v>4770000</v>
      </c>
      <c r="G17" s="22">
        <f>((SUMIFS('2023 Business Log'!$N$3:$N$157,'2023 Business Log'!$R$3:$R$157,A17,'2023 Business Log'!$T$3:$T$157,$G$16,'2023 Business Log'!$K$3:$K$157,"Issued")))</f>
        <v>1535000</v>
      </c>
      <c r="H17" s="22">
        <f>((SUMIFS('2023 Business Log'!$N$3:$N$157,'2023 Business Log'!$R$3:$R$157,A17,'2023 Business Log'!$T$3:$T$157,$H$16,'2023 Business Log'!$K$3:$K$157,"Issued")))</f>
        <v>520000</v>
      </c>
      <c r="I17" s="22">
        <f>((SUMIFS('2023 Business Log'!$N$3:$N$157,'2023 Business Log'!$R$3:$R$157,A17,'2023 Business Log'!$T$3:$T$157,$I$16,'2023 Business Log'!$K$3:$K$157,"Issued")))</f>
        <v>615000</v>
      </c>
      <c r="J17" s="22">
        <f>((SUMIFS('2023 Business Log'!$N$3:$N$157,'2023 Business Log'!$R$3:$R$157,A17,'2023 Business Log'!$T$3:$T$157,$J$16,'2023 Business Log'!$K$3:$K$157,"Issued")))</f>
        <v>800000</v>
      </c>
      <c r="K17" s="23">
        <f>((SUMIFS('2023 Business Log'!$N$3:$N$157,'2023 Business Log'!$R$3:$R$157,A17,'2023 Business Log'!$T$3:$T$157,$K$16,'2023 Business Log'!$K$3:$K$157,"Issued")))</f>
        <v>1300000</v>
      </c>
    </row>
    <row r="18" spans="1:12" x14ac:dyDescent="0.2">
      <c r="A18" s="3" t="str">
        <f>'Data Source'!C7</f>
        <v>LB</v>
      </c>
      <c r="B18" s="19">
        <f>(SUMIFS('2023 Business Log'!$N$3:$N$157,'2023 Business Log'!$R$3:$R$157,A18,'2023 Business Log'!$D$3:$D$157,$B$16,'2023 Business Log'!$K$3:$K$157,"Issued"))</f>
        <v>681000</v>
      </c>
      <c r="C18" s="20">
        <f>(SUMIFS('2023 Business Log'!$N$3:$N$157,'2023 Business Log'!$R$3:$R$157,A18,'2023 Business Log'!$D$3:$D$157,$C$16,'2023 Business Log'!$K$3:$K$157,"Issued"))</f>
        <v>0</v>
      </c>
      <c r="D18" s="20">
        <f>(SUMIFS('2023 Business Log'!$N$3:$N$157,'2023 Business Log'!$R$3:$R$157,A18,'2023 Business Log'!$D$3:$D$157,$D$16,'2023 Business Log'!$K$3:$K$157,"Issued"))</f>
        <v>0</v>
      </c>
      <c r="E18" s="20">
        <f>(SUMIFS('2023 Business Log'!$N$3:$N$157,'2023 Business Log'!$R$3:$R$157,A18,'2023 Business Log'!$D$3:$D$157,$E$16,'2023 Business Log'!$K$3:$K$157,"Issued"))</f>
        <v>505.25</v>
      </c>
      <c r="F18" s="43">
        <f t="shared" ref="F18:F23" si="3">SUM(B18:E18)</f>
        <v>681505.25</v>
      </c>
      <c r="G18" s="20">
        <f>((SUMIFS('2023 Business Log'!$N$3:$N$157,'2023 Business Log'!$R$3:$R$157,A18,'2023 Business Log'!$T$3:$T$157,$G$16,'2023 Business Log'!$K$3:$K$157,"Issued")))</f>
        <v>250000</v>
      </c>
      <c r="H18" s="20">
        <f>((SUMIFS('2023 Business Log'!$N$3:$N$157,'2023 Business Log'!$R$3:$R$157,A18,'2023 Business Log'!$T$3:$T$157,$H$16,'2023 Business Log'!$K$3:$K$157,"Issued")))</f>
        <v>125000</v>
      </c>
      <c r="I18" s="20">
        <f>((SUMIFS('2023 Business Log'!$N$3:$N$157,'2023 Business Log'!$R$3:$R$157,A18,'2023 Business Log'!$T$3:$T$157,$I$16,'2023 Business Log'!$K$3:$K$157,"Issued")))</f>
        <v>56505.25</v>
      </c>
      <c r="J18" s="20">
        <f>((SUMIFS('2023 Business Log'!$N$3:$N$157,'2023 Business Log'!$R$3:$R$157,A18,'2023 Business Log'!$T$3:$T$157,$J$16,'2023 Business Log'!$K$3:$K$157,"Issued")))</f>
        <v>250000</v>
      </c>
      <c r="K18" s="24">
        <f>((SUMIFS('2023 Business Log'!$N$3:$N$157,'2023 Business Log'!$R$3:$R$157,A18,'2023 Business Log'!$T$3:$T$157,$K$16,'2023 Business Log'!$K$3:$K$157,"Issued")))</f>
        <v>0</v>
      </c>
    </row>
    <row r="19" spans="1:12" x14ac:dyDescent="0.2">
      <c r="A19" s="3" t="str">
        <f>'Data Source'!C8</f>
        <v>MD</v>
      </c>
      <c r="B19" s="19">
        <f>(SUMIFS('2023 Business Log'!$N$3:$N$157,'2023 Business Log'!$R$3:$R$157,A19,'2023 Business Log'!$D$3:$D$157,$B$16,'2023 Business Log'!$K$3:$K$157,"Issued"))</f>
        <v>1210000</v>
      </c>
      <c r="C19" s="20">
        <f>(SUMIFS('2023 Business Log'!$N$3:$N$157,'2023 Business Log'!$R$3:$R$157,A19,'2023 Business Log'!$D$3:$D$157,$C$16,'2023 Business Log'!$K$3:$K$157,"Issued"))</f>
        <v>805000</v>
      </c>
      <c r="D19" s="20">
        <f>(SUMIFS('2023 Business Log'!$N$3:$N$157,'2023 Business Log'!$R$3:$R$157,A19,'2023 Business Log'!$D$3:$D$157,$D$16,'2023 Business Log'!$K$3:$K$157,"Issued"))</f>
        <v>43125</v>
      </c>
      <c r="E19" s="20">
        <f>(SUMIFS('2023 Business Log'!$N$3:$N$157,'2023 Business Log'!$R$3:$R$157,A19,'2023 Business Log'!$D$3:$D$157,$E$16,'2023 Business Log'!$K$3:$K$157,"Issued"))</f>
        <v>0</v>
      </c>
      <c r="F19" s="43">
        <f t="shared" si="3"/>
        <v>2058125</v>
      </c>
      <c r="G19" s="20">
        <f>((SUMIFS('2023 Business Log'!$N$3:$N$157,'2023 Business Log'!$R$3:$R$157,A19,'2023 Business Log'!$T$3:$T$157,$G$16,'2023 Business Log'!$K$3:$K$157,"Issued")))</f>
        <v>1010000</v>
      </c>
      <c r="H19" s="20">
        <f>((SUMIFS('2023 Business Log'!$N$3:$N$157,'2023 Business Log'!$R$3:$R$157,A19,'2023 Business Log'!$T$3:$T$157,$H$16,'2023 Business Log'!$K$3:$K$157,"Issued")))</f>
        <v>15125</v>
      </c>
      <c r="I19" s="20">
        <f>((SUMIFS('2023 Business Log'!$N$3:$N$157,'2023 Business Log'!$R$3:$R$157,A19,'2023 Business Log'!$T$3:$T$157,$I$16,'2023 Business Log'!$K$3:$K$157,"Issued")))</f>
        <v>675000</v>
      </c>
      <c r="J19" s="20">
        <f>((SUMIFS('2023 Business Log'!$N$3:$N$157,'2023 Business Log'!$R$3:$R$157,A19,'2023 Business Log'!$T$3:$T$157,$J$16,'2023 Business Log'!$K$3:$K$157,"Issued")))</f>
        <v>358000</v>
      </c>
      <c r="K19" s="24">
        <f>((SUMIFS('2023 Business Log'!$N$3:$N$157,'2023 Business Log'!$R$3:$R$157,A19,'2023 Business Log'!$T$3:$T$157,$K$16,'2023 Business Log'!$K$3:$K$157,"Issued")))</f>
        <v>0</v>
      </c>
    </row>
    <row r="20" spans="1:12" x14ac:dyDescent="0.2">
      <c r="A20" s="3" t="str">
        <f>'Data Source'!C9</f>
        <v>RD</v>
      </c>
      <c r="B20" s="19">
        <f>(SUMIFS('2023 Business Log'!$N$3:$N$157,'2023 Business Log'!$R$3:$R$157,A20,'2023 Business Log'!$D$3:$D$157,$B$16,'2023 Business Log'!$K$3:$K$157,"Issued"))</f>
        <v>300000</v>
      </c>
      <c r="C20" s="20">
        <f>(SUMIFS('2023 Business Log'!$N$3:$N$157,'2023 Business Log'!$R$3:$R$157,A20,'2023 Business Log'!$D$3:$D$157,$C$16,'2023 Business Log'!$K$3:$K$157,"Issued"))</f>
        <v>100000</v>
      </c>
      <c r="D20" s="20">
        <f>(SUMIFS('2023 Business Log'!$N$3:$N$157,'2023 Business Log'!$R$3:$R$157,A20,'2023 Business Log'!$D$3:$D$157,$D$16,'2023 Business Log'!$K$3:$K$157,"Issued"))</f>
        <v>55000</v>
      </c>
      <c r="E20" s="20">
        <f>(SUMIFS('2023 Business Log'!$N$3:$N$157,'2023 Business Log'!$R$3:$R$157,A20,'2023 Business Log'!$D$3:$D$157,$E$16,'2023 Business Log'!$K$3:$K$157,"Issued"))</f>
        <v>500</v>
      </c>
      <c r="F20" s="43">
        <f t="shared" si="3"/>
        <v>455500</v>
      </c>
      <c r="G20" s="20">
        <f>((SUMIFS('2023 Business Log'!$N$3:$N$157,'2023 Business Log'!$R$3:$R$157,A20,'2023 Business Log'!$T$3:$T$157,$G$16,'2023 Business Log'!$K$3:$K$157,"Issued")))</f>
        <v>25000</v>
      </c>
      <c r="H20" s="20">
        <f>((SUMIFS('2023 Business Log'!$N$3:$N$157,'2023 Business Log'!$R$3:$R$157,A20,'2023 Business Log'!$T$3:$T$157,$H$16,'2023 Business Log'!$K$3:$K$157,"Issued")))</f>
        <v>300500</v>
      </c>
      <c r="I20" s="20">
        <f>((SUMIFS('2023 Business Log'!$N$3:$N$157,'2023 Business Log'!$R$3:$R$157,A20,'2023 Business Log'!$T$3:$T$157,$I$16,'2023 Business Log'!$K$3:$K$157,"Issued")))</f>
        <v>30000</v>
      </c>
      <c r="J20" s="20">
        <f>((SUMIFS('2023 Business Log'!$N$3:$N$157,'2023 Business Log'!$R$3:$R$157,A20,'2023 Business Log'!$T$3:$T$157,$J$16,'2023 Business Log'!$K$3:$K$157,"Issued")))</f>
        <v>50000</v>
      </c>
      <c r="K20" s="24">
        <f>((SUMIFS('2023 Business Log'!$N$3:$N$157,'2023 Business Log'!$R$3:$R$157,A20,'2023 Business Log'!$T$3:$T$157,$K$16,'2023 Business Log'!$K$3:$K$157,"Issued")))</f>
        <v>50000</v>
      </c>
    </row>
    <row r="21" spans="1:12" x14ac:dyDescent="0.2">
      <c r="A21" s="3">
        <f>'Data Source'!C10</f>
        <v>0</v>
      </c>
      <c r="B21" s="19">
        <f>(SUMIFS('2023 Business Log'!$N$3:$N$157,'2023 Business Log'!$R$3:$R$157,A21,'2023 Business Log'!$D$3:$D$157,$B$16,'2023 Business Log'!$K$3:$K$157,"Issued"))</f>
        <v>0</v>
      </c>
      <c r="C21" s="20">
        <f>(SUMIFS('2023 Business Log'!$N$3:$N$157,'2023 Business Log'!$R$3:$R$157,A21,'2023 Business Log'!$D$3:$D$157,$C$16,'2023 Business Log'!$K$3:$K$157,"Issued"))</f>
        <v>0</v>
      </c>
      <c r="D21" s="20">
        <f>(SUMIFS('2023 Business Log'!$N$3:$N$157,'2023 Business Log'!$R$3:$R$157,A21,'2023 Business Log'!$D$3:$D$157,$D$16,'2023 Business Log'!$K$3:$K$157,"Issued"))</f>
        <v>0</v>
      </c>
      <c r="E21" s="20">
        <f>(SUMIFS('2023 Business Log'!$N$3:$N$157,'2023 Business Log'!$R$3:$R$157,A21,'2023 Business Log'!$D$3:$D$157,$E$16,'2023 Business Log'!$K$3:$K$157,"Issued"))</f>
        <v>0</v>
      </c>
      <c r="F21" s="43">
        <f t="shared" si="3"/>
        <v>0</v>
      </c>
      <c r="G21" s="20">
        <f>((SUMIFS('2023 Business Log'!$N$3:$N$157,'2023 Business Log'!$R$3:$R$157,A21,'2023 Business Log'!$T$3:$T$157,$G$16,'2023 Business Log'!$K$3:$K$157,"Issued")))</f>
        <v>0</v>
      </c>
      <c r="H21" s="20">
        <f>((SUMIFS('2023 Business Log'!$N$3:$N$157,'2023 Business Log'!$R$3:$R$157,A21,'2023 Business Log'!$T$3:$T$157,$H$16,'2023 Business Log'!$K$3:$K$157,"Issued")))</f>
        <v>0</v>
      </c>
      <c r="I21" s="20">
        <f>((SUMIFS('2023 Business Log'!$N$3:$N$157,'2023 Business Log'!$R$3:$R$157,A21,'2023 Business Log'!$T$3:$T$157,$I$16,'2023 Business Log'!$K$3:$K$157,"Issued")))</f>
        <v>0</v>
      </c>
      <c r="J21" s="20">
        <f>((SUMIFS('2023 Business Log'!$N$3:$N$157,'2023 Business Log'!$R$3:$R$157,A21,'2023 Business Log'!$T$3:$T$157,$J$16,'2023 Business Log'!$K$3:$K$157,"Issued")))</f>
        <v>0</v>
      </c>
      <c r="K21" s="24">
        <f>((SUMIFS('2023 Business Log'!$N$3:$N$157,'2023 Business Log'!$R$3:$R$157,A21,'2023 Business Log'!$T$3:$T$157,$K$16,'2023 Business Log'!$K$3:$K$157,"Issued")))</f>
        <v>0</v>
      </c>
    </row>
    <row r="22" spans="1:12" x14ac:dyDescent="0.2">
      <c r="A22" s="3">
        <f>'Data Source'!C11</f>
        <v>0</v>
      </c>
      <c r="B22" s="19">
        <f>(SUMIFS('2023 Business Log'!$N$3:$N$157,'2023 Business Log'!$R$3:$R$157,A22,'2023 Business Log'!$D$3:$D$157,$B$16,'2023 Business Log'!$K$3:$K$157,"Issued"))</f>
        <v>0</v>
      </c>
      <c r="C22" s="20">
        <f>(SUMIFS('2023 Business Log'!$N$3:$N$157,'2023 Business Log'!$R$3:$R$157,A22,'2023 Business Log'!$D$3:$D$157,$C$16,'2023 Business Log'!$K$3:$K$157,"Issued"))</f>
        <v>0</v>
      </c>
      <c r="D22" s="20">
        <f>(SUMIFS('2023 Business Log'!$N$3:$N$157,'2023 Business Log'!$R$3:$R$157,A22,'2023 Business Log'!$D$3:$D$157,$D$16,'2023 Business Log'!$K$3:$K$157,"Issued"))</f>
        <v>0</v>
      </c>
      <c r="E22" s="20">
        <f>(SUMIFS('2023 Business Log'!$N$3:$N$157,'2023 Business Log'!$R$3:$R$157,A22,'2023 Business Log'!$D$3:$D$157,$E$16,'2023 Business Log'!$K$3:$K$157,"Issued"))</f>
        <v>0</v>
      </c>
      <c r="F22" s="43">
        <f t="shared" si="3"/>
        <v>0</v>
      </c>
      <c r="G22" s="20">
        <f>((SUMIFS('2023 Business Log'!$N$3:$N$157,'2023 Business Log'!$R$3:$R$157,A22,'2023 Business Log'!$T$3:$T$157,$G$16,'2023 Business Log'!$K$3:$K$157,"Issued")))</f>
        <v>0</v>
      </c>
      <c r="H22" s="20">
        <f>((SUMIFS('2023 Business Log'!$N$3:$N$157,'2023 Business Log'!$R$3:$R$157,A22,'2023 Business Log'!$T$3:$T$157,$H$16,'2023 Business Log'!$K$3:$K$157,"Issued")))</f>
        <v>0</v>
      </c>
      <c r="I22" s="20">
        <f>((SUMIFS('2023 Business Log'!$N$3:$N$157,'2023 Business Log'!$R$3:$R$157,A22,'2023 Business Log'!$T$3:$T$157,$I$16,'2023 Business Log'!$K$3:$K$157,"Issued")))</f>
        <v>0</v>
      </c>
      <c r="J22" s="20">
        <f>((SUMIFS('2023 Business Log'!$N$3:$N$157,'2023 Business Log'!$R$3:$R$157,A22,'2023 Business Log'!$T$3:$T$157,$J$16,'2023 Business Log'!$K$3:$K$157,"Issued")))</f>
        <v>0</v>
      </c>
      <c r="K22" s="24">
        <f>((SUMIFS('2023 Business Log'!$N$3:$N$157,'2023 Business Log'!$R$3:$R$157,A22,'2023 Business Log'!$T$3:$T$157,$K$16,'2023 Business Log'!$K$3:$K$157,"Issued")))</f>
        <v>0</v>
      </c>
    </row>
    <row r="23" spans="1:12" ht="16" thickBot="1" x14ac:dyDescent="0.25">
      <c r="A23" s="3">
        <f>'Data Source'!C12</f>
        <v>0</v>
      </c>
      <c r="B23" s="25">
        <f>(SUMIFS('2023 Business Log'!$N$3:$N$157,'2023 Business Log'!$R$3:$R$157,A23,'2023 Business Log'!$D$3:$D$157,$B$16,'2023 Business Log'!$K$3:$K$157,"Issued"))</f>
        <v>0</v>
      </c>
      <c r="C23" s="26">
        <f>(SUMIFS('2023 Business Log'!$N$3:$N$157,'2023 Business Log'!$R$3:$R$157,A23,'2023 Business Log'!$D$3:$D$157,$C$16,'2023 Business Log'!$K$3:$K$157,"Issued"))</f>
        <v>0</v>
      </c>
      <c r="D23" s="26">
        <f>(SUMIFS('2023 Business Log'!$N$3:$N$157,'2023 Business Log'!$R$3:$R$157,A23,'2023 Business Log'!$D$3:$D$157,$D$16,'2023 Business Log'!$K$3:$K$157,"Issued"))</f>
        <v>0</v>
      </c>
      <c r="E23" s="26">
        <f>(SUMIFS('2023 Business Log'!$N$3:$N$157,'2023 Business Log'!$R$3:$R$157,A23,'2023 Business Log'!$D$3:$D$157,$E$16,'2023 Business Log'!$K$3:$K$157,"Issued"))</f>
        <v>0</v>
      </c>
      <c r="F23" s="74">
        <f t="shared" si="3"/>
        <v>0</v>
      </c>
      <c r="G23" s="26">
        <f>((SUMIFS('2023 Business Log'!$N$3:$N$157,'2023 Business Log'!$R$3:$R$157,A23,'2023 Business Log'!$T$3:$T$157,$G$16,'2023 Business Log'!$K$3:$K$157,"Issued")))</f>
        <v>0</v>
      </c>
      <c r="H23" s="26">
        <f>((SUMIFS('2023 Business Log'!$N$3:$N$157,'2023 Business Log'!$R$3:$R$157,A23,'2023 Business Log'!$T$3:$T$157,$H$16,'2023 Business Log'!$K$3:$K$157,"Issued")))</f>
        <v>0</v>
      </c>
      <c r="I23" s="26">
        <f>((SUMIFS('2023 Business Log'!$N$3:$N$157,'2023 Business Log'!$R$3:$R$157,A23,'2023 Business Log'!$T$3:$T$157,$I$16,'2023 Business Log'!$K$3:$K$157,"Issued")))</f>
        <v>0</v>
      </c>
      <c r="J23" s="26">
        <f>((SUMIFS('2023 Business Log'!$N$3:$N$157,'2023 Business Log'!$R$3:$R$157,A23,'2023 Business Log'!$T$3:$T$157,$J$16,'2023 Business Log'!$K$3:$K$157,"Issued")))</f>
        <v>0</v>
      </c>
      <c r="K23" s="27">
        <f>((SUMIFS('2023 Business Log'!$N$3:$N$157,'2023 Business Log'!$R$3:$R$157,A23,'2023 Business Log'!$T$3:$T$157,$K$16,'2023 Business Log'!$K$3:$K$157,"Issued")))</f>
        <v>0</v>
      </c>
    </row>
    <row r="24" spans="1:12" ht="17" thickBot="1" x14ac:dyDescent="0.25">
      <c r="A24" s="5" t="s">
        <v>34</v>
      </c>
      <c r="B24" s="28">
        <f>SUM(B17:B20)</f>
        <v>3341000</v>
      </c>
      <c r="C24" s="29">
        <f>SUM(C17:C20)</f>
        <v>4505000</v>
      </c>
      <c r="D24" s="29">
        <f>SUM(D17:D20)</f>
        <v>118125</v>
      </c>
      <c r="E24" s="29">
        <f>SUM(E17:E20)</f>
        <v>1005.25</v>
      </c>
      <c r="F24" s="72">
        <f t="shared" si="2"/>
        <v>7965130.25</v>
      </c>
      <c r="G24" s="29">
        <f>SUM(G17:G20)</f>
        <v>2820000</v>
      </c>
      <c r="H24" s="29">
        <f>SUM(H17:H20)</f>
        <v>960625</v>
      </c>
      <c r="I24" s="29">
        <f>SUM(I17:I20)</f>
        <v>1376505.25</v>
      </c>
      <c r="J24" s="37">
        <f>SUM(J17:J20)</f>
        <v>1458000</v>
      </c>
      <c r="K24" s="38">
        <f>SUM(K17:K20)</f>
        <v>1350000</v>
      </c>
    </row>
    <row r="25" spans="1:12" ht="16" thickBot="1" x14ac:dyDescent="0.25"/>
    <row r="26" spans="1:12" ht="26" thickBot="1" x14ac:dyDescent="0.3">
      <c r="A26" s="332" t="s">
        <v>228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4"/>
      <c r="L26" s="44"/>
    </row>
    <row r="27" spans="1:12" ht="21" customHeight="1" thickBot="1" x14ac:dyDescent="0.25">
      <c r="A27" s="314" t="s">
        <v>35</v>
      </c>
      <c r="B27" s="316" t="s">
        <v>21</v>
      </c>
      <c r="C27" s="317"/>
      <c r="D27" s="317"/>
      <c r="E27" s="317"/>
      <c r="F27" s="318"/>
      <c r="G27" s="319" t="s">
        <v>22</v>
      </c>
      <c r="H27" s="320"/>
      <c r="I27" s="320"/>
      <c r="J27" s="320"/>
      <c r="K27" s="321"/>
      <c r="L27" s="44"/>
    </row>
    <row r="28" spans="1:12" ht="16" thickBot="1" x14ac:dyDescent="0.25">
      <c r="A28" s="315"/>
      <c r="B28" s="99" t="str">
        <f>'Data Source'!A6</f>
        <v>Annuity</v>
      </c>
      <c r="C28" s="100" t="str">
        <f>'Data Source'!A7</f>
        <v>AUM</v>
      </c>
      <c r="D28" s="100" t="str">
        <f>'Data Source'!A8</f>
        <v>Life</v>
      </c>
      <c r="E28" s="100" t="str">
        <f>'Data Source'!A9</f>
        <v>Med Supp</v>
      </c>
      <c r="F28" s="75" t="s">
        <v>25</v>
      </c>
      <c r="G28" s="237" t="str">
        <f>'Data Source'!E6</f>
        <v>Q1</v>
      </c>
      <c r="H28" s="238" t="str">
        <f>'Data Source'!E7</f>
        <v>Q2</v>
      </c>
      <c r="I28" s="238" t="str">
        <f>'Data Source'!E8</f>
        <v>Q3</v>
      </c>
      <c r="J28" s="238" t="str">
        <f>'Data Source'!E9</f>
        <v>Q4</v>
      </c>
      <c r="K28" s="239" t="str">
        <f>'Data Source'!E10</f>
        <v>Prior Yr</v>
      </c>
    </row>
    <row r="29" spans="1:12" x14ac:dyDescent="0.2">
      <c r="A29" s="3" t="str">
        <f>'Data Source'!C6</f>
        <v>HS</v>
      </c>
      <c r="B29" s="21">
        <f>((SUMIFS('2023 Business Log'!$M$3:$M$157,'2023 Business Log'!$R$3:$R$157,A29,'2023 Business Log'!$D$3:$D$157,$B$28,'2023 Business Log'!$K$3:$K$157,"Withdrawn"))+(SUMIFS('2023 Business Log'!$L$3:$L$157,'2023 Business Log'!$R$3:$R$157,A29,'2023 Business Log'!$D$3:$D$157,$B$28,'2023 Business Log'!$K$3:$K$157,"Withdrawn")))</f>
        <v>0</v>
      </c>
      <c r="C29" s="22">
        <f>((SUMIFS('2023 Business Log'!$M$3:$M$157,'2023 Business Log'!$R$3:$R$157,A29,'2023 Business Log'!$D$3:$D$157,$C$28,'2023 Business Log'!$K$3:$K$157,"Withdrawn"))+(SUMIFS('2023 Business Log'!$L$3:$L$157,'2023 Business Log'!$R$3:$R$157,A29,'2023 Business Log'!$D$3:$D$157,$C$28,'2023 Business Log'!$K$3:$K$157,"Withdrawn")))</f>
        <v>0</v>
      </c>
      <c r="D29" s="22">
        <f>((SUMIFS('2023 Business Log'!$M$3:$M$157,'2023 Business Log'!$R$3:$R$157,A29,'2023 Business Log'!$D$3:$D$157,$D$28,'2023 Business Log'!$K$3:$K$157,"Withdrawn"))+(SUMIFS('2023 Business Log'!$L$3:$L$157,'2023 Business Log'!$R$3:$R$157,A29,'2023 Business Log'!$D$3:$D$157,$D$28,'2023 Business Log'!$K$3:$K$157,"Withdrawn")))</f>
        <v>0</v>
      </c>
      <c r="E29" s="22">
        <f>((SUMIFS('2023 Business Log'!$M$3:$M$157,'2023 Business Log'!$R$3:$R$157,A29,'2023 Business Log'!$D$3:$D$157,$E$28,'2023 Business Log'!$K$3:$K$157,"Withdrawn"))+(SUMIFS('2023 Business Log'!$L$3:$L$157,'2023 Business Log'!$R$3:$R$157,A29,'2023 Business Log'!$D$3:$D$157,$E$28,'2023 Business Log'!$K$3:$K$157,"Withdrawn")))</f>
        <v>0</v>
      </c>
      <c r="F29" s="73">
        <f t="shared" ref="F29:F36" si="4">SUM(B29:E29)</f>
        <v>0</v>
      </c>
      <c r="G29" s="22">
        <f>((SUMIFS('2023 Business Log'!$M$3:$M$157,'2023 Business Log'!$R$3:$R$157,A29,'2023 Business Log'!$T$3:$T$157,$G$28,'2023 Business Log'!$K$3:$K$157,"Withdrawn"))+(SUMIFS('2023 Business Log'!$L$3:$L$157,'2023 Business Log'!$R$3:$R$157,A29,'2023 Business Log'!$T$3:$T$157,$G$28,'2023 Business Log'!$K$3:$K$157,"Withdrawn")))</f>
        <v>0</v>
      </c>
      <c r="H29" s="22">
        <f>((SUMIFS('2023 Business Log'!$M$3:$M$157,'2023 Business Log'!$R$3:$R$157,A29,'2023 Business Log'!$T$3:$T$157,$H$28,'2023 Business Log'!$K$3:$K$157,"Withdrawn"))+(SUMIFS('2023 Business Log'!$L$3:$L$157,'2023 Business Log'!$R$3:$R$157,A29,'2023 Business Log'!$T$3:$T$157,$H$28,'2023 Business Log'!$K$3:$K$157,"Withdrawn")))</f>
        <v>0</v>
      </c>
      <c r="I29" s="22">
        <f>((SUMIFS('2023 Business Log'!$M$3:$M$157,'2023 Business Log'!$R$3:$R$157,A29,'2023 Business Log'!$T$3:$T$157,$I$28,'2023 Business Log'!$K$3:$K$157,"Withdrawn"))+(SUMIFS('2023 Business Log'!$L$3:$L$157,'2023 Business Log'!$R$3:$R$157,A29,'2023 Business Log'!$T$3:$T$157,$I$28,'2023 Business Log'!$K$3:$K$157,"Withdrawn")))</f>
        <v>0</v>
      </c>
      <c r="J29" s="22">
        <f>((SUMIFS('2023 Business Log'!$M$3:$M$157,'2023 Business Log'!$R$3:$R$157,A29,'2023 Business Log'!$T$3:$T$157,$J$28,'2023 Business Log'!$K$3:$K$157,"Withdrawn"))+(SUMIFS('2023 Business Log'!$L$3:$L$157,'2023 Business Log'!$R$3:$R$157,A29,'2023 Business Log'!$T$3:$T$157,$J$28,'2023 Business Log'!$K$3:$K$157,"Withdrawn")))</f>
        <v>0</v>
      </c>
      <c r="K29" s="23">
        <f>((SUMIFS('2023 Business Log'!$M$3:$M$157,'2023 Business Log'!$R$3:$R$157,A29,'2023 Business Log'!$T$3:$T$157,$K$28,'2023 Business Log'!$K$3:$K$157,"Withdrawn"))+(SUMIFS('2023 Business Log'!$L$3:$L$157,'2023 Business Log'!$R$3:$R$157,A29,'2023 Business Log'!$T$3:$T$157,$K$28,'2023 Business Log'!$K$3:$K$157,"Withdrawn")))</f>
        <v>0</v>
      </c>
    </row>
    <row r="30" spans="1:12" x14ac:dyDescent="0.2">
      <c r="A30" s="3" t="str">
        <f>'Data Source'!C7</f>
        <v>LB</v>
      </c>
      <c r="B30" s="19">
        <f>((SUMIFS('2023 Business Log'!$M$3:$M$157,'2023 Business Log'!$R$3:$R$157,A30,'2023 Business Log'!$D$3:$D$157,$B$28,'2023 Business Log'!$K$3:$K$157,"Withdrawn"))+(SUMIFS('2023 Business Log'!$L$3:$L$157,'2023 Business Log'!$R$3:$R$157,A30,'2023 Business Log'!$D$3:$D$157,$B$28,'2023 Business Log'!$K$3:$K$157,"Withdrawn")))</f>
        <v>0</v>
      </c>
      <c r="C30" s="20">
        <f>((SUMIFS('2023 Business Log'!$M$3:$M$157,'2023 Business Log'!$R$3:$R$157,A30,'2023 Business Log'!$D$3:$D$157,$C$28,'2023 Business Log'!$K$3:$K$157,"Withdrawn"))+(SUMIFS('2023 Business Log'!$L$3:$L$157,'2023 Business Log'!$R$3:$R$157,A30,'2023 Business Log'!$D$3:$D$157,$C$28,'2023 Business Log'!$K$3:$K$157,"Withdrawn")))</f>
        <v>0</v>
      </c>
      <c r="D30" s="20">
        <f>((SUMIFS('2023 Business Log'!$M$3:$M$157,'2023 Business Log'!$R$3:$R$157,A30,'2023 Business Log'!$D$3:$D$157,$D$28,'2023 Business Log'!$K$3:$K$157,"Withdrawn"))+(SUMIFS('2023 Business Log'!$L$3:$L$157,'2023 Business Log'!$R$3:$R$157,A30,'2023 Business Log'!$D$3:$D$157,$D$28,'2023 Business Log'!$K$3:$K$157,"Withdrawn")))</f>
        <v>0</v>
      </c>
      <c r="E30" s="20">
        <f>((SUMIFS('2023 Business Log'!$M$3:$M$157,'2023 Business Log'!$R$3:$R$157,A30,'2023 Business Log'!$D$3:$D$157,$E$28,'2023 Business Log'!$K$3:$K$157,"Withdrawn"))+(SUMIFS('2023 Business Log'!$L$3:$L$157,'2023 Business Log'!$R$3:$R$157,A30,'2023 Business Log'!$D$3:$D$157,$E$28,'2023 Business Log'!$K$3:$K$157,"Withdrawn")))</f>
        <v>0</v>
      </c>
      <c r="F30" s="43">
        <f t="shared" ref="F30:F35" si="5">SUM(B30:E30)</f>
        <v>0</v>
      </c>
      <c r="G30" s="20">
        <f>((SUMIFS('2023 Business Log'!$M$3:$M$157,'2023 Business Log'!$R$3:$R$157,A30,'2023 Business Log'!$T$3:$T$157,$G$28,'2023 Business Log'!$K$3:$K$157,"Withdrawn"))+(SUMIFS('2023 Business Log'!$L$3:$L$157,'2023 Business Log'!$R$3:$R$157,A30,'2023 Business Log'!$T$3:$T$157,$G$28,'2023 Business Log'!$K$3:$K$157,"Withdrawn")))</f>
        <v>0</v>
      </c>
      <c r="H30" s="20">
        <f>((SUMIFS('2023 Business Log'!$M$3:$M$157,'2023 Business Log'!$R$3:$R$157,A30,'2023 Business Log'!$T$3:$T$157,$H$28,'2023 Business Log'!$K$3:$K$157,"Withdrawn"))+(SUMIFS('2023 Business Log'!$L$3:$L$157,'2023 Business Log'!$R$3:$R$157,A30,'2023 Business Log'!$T$3:$T$157,$H$28,'2023 Business Log'!$K$3:$K$157,"Withdrawn")))</f>
        <v>0</v>
      </c>
      <c r="I30" s="20">
        <f>((SUMIFS('2023 Business Log'!$M$3:$M$157,'2023 Business Log'!$R$3:$R$157,A30,'2023 Business Log'!$T$3:$T$157,$I$28,'2023 Business Log'!$K$3:$K$157,"Withdrawn"))+(SUMIFS('2023 Business Log'!$L$3:$L$157,'2023 Business Log'!$R$3:$R$157,A30,'2023 Business Log'!$T$3:$T$157,$I$28,'2023 Business Log'!$K$3:$K$157,"Withdrawn")))</f>
        <v>0</v>
      </c>
      <c r="J30" s="20">
        <f>((SUMIFS('2023 Business Log'!$M$3:$M$157,'2023 Business Log'!$R$3:$R$157,A30,'2023 Business Log'!$T$3:$T$157,$J$28,'2023 Business Log'!$K$3:$K$157,"Withdrawn"))+(SUMIFS('2023 Business Log'!$L$3:$L$157,'2023 Business Log'!$R$3:$R$157,A30,'2023 Business Log'!$T$3:$T$157,$J$28,'2023 Business Log'!$K$3:$K$157,"Withdrawn")))</f>
        <v>0</v>
      </c>
      <c r="K30" s="24">
        <f>((SUMIFS('2023 Business Log'!$M$3:$M$157,'2023 Business Log'!$R$3:$R$157,A30,'2023 Business Log'!$T$3:$T$157,$K$28,'2023 Business Log'!$K$3:$K$157,"Withdrawn"))+(SUMIFS('2023 Business Log'!$L$3:$L$157,'2023 Business Log'!$R$3:$R$157,A30,'2023 Business Log'!$T$3:$T$157,$K$28,'2023 Business Log'!$K$3:$K$157,"Withdrawn")))</f>
        <v>0</v>
      </c>
    </row>
    <row r="31" spans="1:12" x14ac:dyDescent="0.2">
      <c r="A31" s="3" t="str">
        <f>'Data Source'!C8</f>
        <v>MD</v>
      </c>
      <c r="B31" s="19">
        <f>((SUMIFS('2023 Business Log'!$M$3:$M$157,'2023 Business Log'!$R$3:$R$157,A31,'2023 Business Log'!$D$3:$D$157,$B$28,'2023 Business Log'!$K$3:$K$157,"Withdrawn"))+(SUMIFS('2023 Business Log'!$L$3:$L$157,'2023 Business Log'!$R$3:$R$157,A31,'2023 Business Log'!$D$3:$D$157,$B$28,'2023 Business Log'!$K$3:$K$157,"Withdrawn")))</f>
        <v>0</v>
      </c>
      <c r="C31" s="20">
        <f>((SUMIFS('2023 Business Log'!$M$3:$M$157,'2023 Business Log'!$R$3:$R$157,A31,'2023 Business Log'!$D$3:$D$157,$C$28,'2023 Business Log'!$K$3:$K$157,"Withdrawn"))+(SUMIFS('2023 Business Log'!$L$3:$L$157,'2023 Business Log'!$R$3:$R$157,A31,'2023 Business Log'!$D$3:$D$157,$C$28,'2023 Business Log'!$K$3:$K$157,"Withdrawn")))</f>
        <v>0</v>
      </c>
      <c r="D31" s="20">
        <f>((SUMIFS('2023 Business Log'!$M$3:$M$157,'2023 Business Log'!$R$3:$R$157,A31,'2023 Business Log'!$D$3:$D$157,$D$28,'2023 Business Log'!$K$3:$K$157,"Withdrawn"))+(SUMIFS('2023 Business Log'!$L$3:$L$157,'2023 Business Log'!$R$3:$R$157,A31,'2023 Business Log'!$D$3:$D$157,$D$28,'2023 Business Log'!$K$3:$K$157,"Withdrawn")))</f>
        <v>30000</v>
      </c>
      <c r="E31" s="20">
        <f>((SUMIFS('2023 Business Log'!$M$3:$M$157,'2023 Business Log'!$R$3:$R$157,A31,'2023 Business Log'!$D$3:$D$157,$E$28,'2023 Business Log'!$K$3:$K$157,"Withdrawn"))+(SUMIFS('2023 Business Log'!$L$3:$L$157,'2023 Business Log'!$R$3:$R$157,A31,'2023 Business Log'!$D$3:$D$157,$E$28,'2023 Business Log'!$K$3:$K$157,"Withdrawn")))</f>
        <v>0</v>
      </c>
      <c r="F31" s="43">
        <f t="shared" si="5"/>
        <v>30000</v>
      </c>
      <c r="G31" s="20">
        <f>((SUMIFS('2023 Business Log'!$M$3:$M$157,'2023 Business Log'!$R$3:$R$157,A31,'2023 Business Log'!$T$3:$T$157,$G$28,'2023 Business Log'!$K$3:$K$157,"Withdrawn"))+(SUMIFS('2023 Business Log'!$L$3:$L$157,'2023 Business Log'!$R$3:$R$157,A31,'2023 Business Log'!$T$3:$T$157,$G$28,'2023 Business Log'!$K$3:$K$157,"Withdrawn")))</f>
        <v>0</v>
      </c>
      <c r="H31" s="20">
        <f>((SUMIFS('2023 Business Log'!$M$3:$M$157,'2023 Business Log'!$R$3:$R$157,A31,'2023 Business Log'!$T$3:$T$157,$H$28,'2023 Business Log'!$K$3:$K$157,"Withdrawn"))+(SUMIFS('2023 Business Log'!$L$3:$L$157,'2023 Business Log'!$R$3:$R$157,A31,'2023 Business Log'!$T$3:$T$157,$H$28,'2023 Business Log'!$K$3:$K$157,"Withdrawn")))</f>
        <v>0</v>
      </c>
      <c r="I31" s="20">
        <f>((SUMIFS('2023 Business Log'!$M$3:$M$157,'2023 Business Log'!$R$3:$R$157,A31,'2023 Business Log'!$T$3:$T$157,$I$28,'2023 Business Log'!$K$3:$K$157,"Withdrawn"))+(SUMIFS('2023 Business Log'!$L$3:$L$157,'2023 Business Log'!$R$3:$R$157,A31,'2023 Business Log'!$T$3:$T$157,$I$28,'2023 Business Log'!$K$3:$K$157,"Withdrawn")))</f>
        <v>0</v>
      </c>
      <c r="J31" s="20">
        <f>((SUMIFS('2023 Business Log'!$M$3:$M$157,'2023 Business Log'!$R$3:$R$157,A31,'2023 Business Log'!$T$3:$T$157,$J$28,'2023 Business Log'!$K$3:$K$157,"Withdrawn"))+(SUMIFS('2023 Business Log'!$L$3:$L$157,'2023 Business Log'!$R$3:$R$157,A31,'2023 Business Log'!$T$3:$T$157,$J$28,'2023 Business Log'!$K$3:$K$157,"Withdrawn")))</f>
        <v>30000</v>
      </c>
      <c r="K31" s="24">
        <f>((SUMIFS('2023 Business Log'!$M$3:$M$157,'2023 Business Log'!$R$3:$R$157,A31,'2023 Business Log'!$T$3:$T$157,$K$28,'2023 Business Log'!$K$3:$K$157,"Withdrawn"))+(SUMIFS('2023 Business Log'!$L$3:$L$157,'2023 Business Log'!$R$3:$R$157,A31,'2023 Business Log'!$T$3:$T$157,$K$28,'2023 Business Log'!$K$3:$K$157,"Withdrawn")))</f>
        <v>0</v>
      </c>
    </row>
    <row r="32" spans="1:12" x14ac:dyDescent="0.2">
      <c r="A32" s="3" t="str">
        <f>'Data Source'!C9</f>
        <v>RD</v>
      </c>
      <c r="B32" s="19">
        <f>((SUMIFS('2023 Business Log'!$M$3:$M$157,'2023 Business Log'!$R$3:$R$157,A32,'2023 Business Log'!$D$3:$D$157,$B$28,'2023 Business Log'!$K$3:$K$157,"Withdrawn"))+(SUMIFS('2023 Business Log'!$L$3:$L$157,'2023 Business Log'!$R$3:$R$157,A32,'2023 Business Log'!$D$3:$D$157,$B$28,'2023 Business Log'!$K$3:$K$157,"Withdrawn")))</f>
        <v>0</v>
      </c>
      <c r="C32" s="20">
        <f>((SUMIFS('2023 Business Log'!$M$3:$M$157,'2023 Business Log'!$R$3:$R$157,A32,'2023 Business Log'!$D$3:$D$157,$C$28,'2023 Business Log'!$K$3:$K$157,"Withdrawn"))+(SUMIFS('2023 Business Log'!$L$3:$L$157,'2023 Business Log'!$R$3:$R$157,A32,'2023 Business Log'!$D$3:$D$157,$C$28,'2023 Business Log'!$K$3:$K$157,"Withdrawn")))</f>
        <v>0</v>
      </c>
      <c r="D32" s="20">
        <f>((SUMIFS('2023 Business Log'!$M$3:$M$157,'2023 Business Log'!$R$3:$R$157,A32,'2023 Business Log'!$D$3:$D$157,$D$28,'2023 Business Log'!$K$3:$K$157,"Withdrawn"))+(SUMIFS('2023 Business Log'!$L$3:$L$157,'2023 Business Log'!$R$3:$R$157,A32,'2023 Business Log'!$D$3:$D$157,$D$28,'2023 Business Log'!$K$3:$K$157,"Withdrawn")))</f>
        <v>0</v>
      </c>
      <c r="E32" s="20">
        <f>((SUMIFS('2023 Business Log'!$M$3:$M$157,'2023 Business Log'!$R$3:$R$157,A32,'2023 Business Log'!$D$3:$D$157,$E$28,'2023 Business Log'!$K$3:$K$157,"Withdrawn"))+(SUMIFS('2023 Business Log'!$L$3:$L$157,'2023 Business Log'!$R$3:$R$157,A32,'2023 Business Log'!$D$3:$D$157,$E$28,'2023 Business Log'!$K$3:$K$157,"Withdrawn")))</f>
        <v>0</v>
      </c>
      <c r="F32" s="43">
        <f t="shared" si="5"/>
        <v>0</v>
      </c>
      <c r="G32" s="20">
        <f>((SUMIFS('2023 Business Log'!$M$3:$M$157,'2023 Business Log'!$R$3:$R$157,A32,'2023 Business Log'!$T$3:$T$157,$G$28,'2023 Business Log'!$K$3:$K$157,"Withdrawn"))+(SUMIFS('2023 Business Log'!$L$3:$L$157,'2023 Business Log'!$R$3:$R$157,A32,'2023 Business Log'!$T$3:$T$157,$G$28,'2023 Business Log'!$K$3:$K$157,"Withdrawn")))</f>
        <v>0</v>
      </c>
      <c r="H32" s="20">
        <f>((SUMIFS('2023 Business Log'!$M$3:$M$157,'2023 Business Log'!$R$3:$R$157,A32,'2023 Business Log'!$T$3:$T$157,$H$28,'2023 Business Log'!$K$3:$K$157,"Withdrawn"))+(SUMIFS('2023 Business Log'!$L$3:$L$157,'2023 Business Log'!$R$3:$R$157,A32,'2023 Business Log'!$T$3:$T$157,$H$28,'2023 Business Log'!$K$3:$K$157,"Withdrawn")))</f>
        <v>0</v>
      </c>
      <c r="I32" s="20">
        <f>((SUMIFS('2023 Business Log'!$M$3:$M$157,'2023 Business Log'!$R$3:$R$157,A32,'2023 Business Log'!$T$3:$T$157,$I$28,'2023 Business Log'!$K$3:$K$157,"Withdrawn"))+(SUMIFS('2023 Business Log'!$L$3:$L$157,'2023 Business Log'!$R$3:$R$157,A32,'2023 Business Log'!$T$3:$T$157,$I$28,'2023 Business Log'!$K$3:$K$157,"Withdrawn")))</f>
        <v>0</v>
      </c>
      <c r="J32" s="20">
        <f>((SUMIFS('2023 Business Log'!$M$3:$M$157,'2023 Business Log'!$R$3:$R$157,A32,'2023 Business Log'!$T$3:$T$157,$J$28,'2023 Business Log'!$K$3:$K$157,"Withdrawn"))+(SUMIFS('2023 Business Log'!$L$3:$L$157,'2023 Business Log'!$R$3:$R$157,A32,'2023 Business Log'!$T$3:$T$157,$J$28,'2023 Business Log'!$K$3:$K$157,"Withdrawn")))</f>
        <v>0</v>
      </c>
      <c r="K32" s="24">
        <f>((SUMIFS('2023 Business Log'!$M$3:$M$157,'2023 Business Log'!$R$3:$R$157,A32,'2023 Business Log'!$T$3:$T$157,$K$28,'2023 Business Log'!$K$3:$K$157,"Withdrawn"))+(SUMIFS('2023 Business Log'!$L$3:$L$157,'2023 Business Log'!$R$3:$R$157,A32,'2023 Business Log'!$T$3:$T$157,$K$28,'2023 Business Log'!$K$3:$K$157,"Withdrawn")))</f>
        <v>0</v>
      </c>
    </row>
    <row r="33" spans="1:11" x14ac:dyDescent="0.2">
      <c r="A33" s="3">
        <f>'Data Source'!C10</f>
        <v>0</v>
      </c>
      <c r="B33" s="19">
        <f>((SUMIFS('2023 Business Log'!$M$3:$M$157,'2023 Business Log'!$R$3:$R$157,A33,'2023 Business Log'!$D$3:$D$157,$B$28,'2023 Business Log'!$K$3:$K$157,"Withdrawn"))+(SUMIFS('2023 Business Log'!$L$3:$L$157,'2023 Business Log'!$R$3:$R$157,A33,'2023 Business Log'!$D$3:$D$157,$B$28,'2023 Business Log'!$K$3:$K$157,"Withdrawn")))</f>
        <v>0</v>
      </c>
      <c r="C33" s="20">
        <f>((SUMIFS('2023 Business Log'!$M$3:$M$157,'2023 Business Log'!$R$3:$R$157,A33,'2023 Business Log'!$D$3:$D$157,$C$28,'2023 Business Log'!$K$3:$K$157,"Withdrawn"))+(SUMIFS('2023 Business Log'!$L$3:$L$157,'2023 Business Log'!$R$3:$R$157,A33,'2023 Business Log'!$D$3:$D$157,$C$28,'2023 Business Log'!$K$3:$K$157,"Withdrawn")))</f>
        <v>0</v>
      </c>
      <c r="D33" s="20">
        <f>((SUMIFS('2023 Business Log'!$M$3:$M$157,'2023 Business Log'!$R$3:$R$157,A33,'2023 Business Log'!$D$3:$D$157,$D$28,'2023 Business Log'!$K$3:$K$157,"Withdrawn"))+(SUMIFS('2023 Business Log'!$L$3:$L$157,'2023 Business Log'!$R$3:$R$157,A33,'2023 Business Log'!$D$3:$D$157,$D$28,'2023 Business Log'!$K$3:$K$157,"Withdrawn")))</f>
        <v>0</v>
      </c>
      <c r="E33" s="20">
        <f>((SUMIFS('2023 Business Log'!$M$3:$M$157,'2023 Business Log'!$R$3:$R$157,A33,'2023 Business Log'!$D$3:$D$157,$E$28,'2023 Business Log'!$K$3:$K$157,"Withdrawn"))+(SUMIFS('2023 Business Log'!$L$3:$L$157,'2023 Business Log'!$R$3:$R$157,A33,'2023 Business Log'!$D$3:$D$157,$E$28,'2023 Business Log'!$K$3:$K$157,"Withdrawn")))</f>
        <v>0</v>
      </c>
      <c r="F33" s="43">
        <f t="shared" si="5"/>
        <v>0</v>
      </c>
      <c r="G33" s="20">
        <f>((SUMIFS('2023 Business Log'!$M$3:$M$157,'2023 Business Log'!$R$3:$R$157,A33,'2023 Business Log'!$T$3:$T$157,$G$28,'2023 Business Log'!$K$3:$K$157,"Withdrawn"))+(SUMIFS('2023 Business Log'!$L$3:$L$157,'2023 Business Log'!$R$3:$R$157,A33,'2023 Business Log'!$T$3:$T$157,$G$28,'2023 Business Log'!$K$3:$K$157,"Withdrawn")))</f>
        <v>0</v>
      </c>
      <c r="H33" s="20">
        <f>((SUMIFS('2023 Business Log'!$M$3:$M$157,'2023 Business Log'!$R$3:$R$157,A33,'2023 Business Log'!$T$3:$T$157,$H$28,'2023 Business Log'!$K$3:$K$157,"Withdrawn"))+(SUMIFS('2023 Business Log'!$L$3:$L$157,'2023 Business Log'!$R$3:$R$157,A33,'2023 Business Log'!$T$3:$T$157,$H$28,'2023 Business Log'!$K$3:$K$157,"Withdrawn")))</f>
        <v>0</v>
      </c>
      <c r="I33" s="20">
        <f>((SUMIFS('2023 Business Log'!$M$3:$M$157,'2023 Business Log'!$R$3:$R$157,A33,'2023 Business Log'!$T$3:$T$157,$I$28,'2023 Business Log'!$K$3:$K$157,"Withdrawn"))+(SUMIFS('2023 Business Log'!$L$3:$L$157,'2023 Business Log'!$R$3:$R$157,A33,'2023 Business Log'!$T$3:$T$157,$I$28,'2023 Business Log'!$K$3:$K$157,"Withdrawn")))</f>
        <v>0</v>
      </c>
      <c r="J33" s="20">
        <f>((SUMIFS('2023 Business Log'!$M$3:$M$157,'2023 Business Log'!$R$3:$R$157,A33,'2023 Business Log'!$T$3:$T$157,$J$28,'2023 Business Log'!$K$3:$K$157,"Withdrawn"))+(SUMIFS('2023 Business Log'!$L$3:$L$157,'2023 Business Log'!$R$3:$R$157,A33,'2023 Business Log'!$T$3:$T$157,$J$28,'2023 Business Log'!$K$3:$K$157,"Withdrawn")))</f>
        <v>0</v>
      </c>
      <c r="K33" s="24">
        <f>((SUMIFS('2023 Business Log'!$M$3:$M$157,'2023 Business Log'!$R$3:$R$157,A33,'2023 Business Log'!$T$3:$T$157,$K$28,'2023 Business Log'!$K$3:$K$157,"Withdrawn"))+(SUMIFS('2023 Business Log'!$L$3:$L$157,'2023 Business Log'!$R$3:$R$157,A33,'2023 Business Log'!$T$3:$T$157,$K$28,'2023 Business Log'!$K$3:$K$157,"Withdrawn")))</f>
        <v>0</v>
      </c>
    </row>
    <row r="34" spans="1:11" x14ac:dyDescent="0.2">
      <c r="A34" s="3">
        <f>'Data Source'!C11</f>
        <v>0</v>
      </c>
      <c r="B34" s="19">
        <f>((SUMIFS('2023 Business Log'!$M$3:$M$157,'2023 Business Log'!$R$3:$R$157,A34,'2023 Business Log'!$D$3:$D$157,$B$28,'2023 Business Log'!$K$3:$K$157,"Withdrawn"))+(SUMIFS('2023 Business Log'!$L$3:$L$157,'2023 Business Log'!$R$3:$R$157,A34,'2023 Business Log'!$D$3:$D$157,$B$28,'2023 Business Log'!$K$3:$K$157,"Withdrawn")))</f>
        <v>0</v>
      </c>
      <c r="C34" s="20">
        <f>((SUMIFS('2023 Business Log'!$M$3:$M$157,'2023 Business Log'!$R$3:$R$157,A34,'2023 Business Log'!$D$3:$D$157,$C$28,'2023 Business Log'!$K$3:$K$157,"Withdrawn"))+(SUMIFS('2023 Business Log'!$L$3:$L$157,'2023 Business Log'!$R$3:$R$157,A34,'2023 Business Log'!$D$3:$D$157,$C$28,'2023 Business Log'!$K$3:$K$157,"Withdrawn")))</f>
        <v>0</v>
      </c>
      <c r="D34" s="20">
        <f>((SUMIFS('2023 Business Log'!$M$3:$M$157,'2023 Business Log'!$R$3:$R$157,A34,'2023 Business Log'!$D$3:$D$157,$D$28,'2023 Business Log'!$K$3:$K$157,"Withdrawn"))+(SUMIFS('2023 Business Log'!$L$3:$L$157,'2023 Business Log'!$R$3:$R$157,A34,'2023 Business Log'!$D$3:$D$157,$D$28,'2023 Business Log'!$K$3:$K$157,"Withdrawn")))</f>
        <v>0</v>
      </c>
      <c r="E34" s="20">
        <f>((SUMIFS('2023 Business Log'!$M$3:$M$157,'2023 Business Log'!$R$3:$R$157,A34,'2023 Business Log'!$D$3:$D$157,$E$28,'2023 Business Log'!$K$3:$K$157,"Withdrawn"))+(SUMIFS('2023 Business Log'!$L$3:$L$157,'2023 Business Log'!$R$3:$R$157,A34,'2023 Business Log'!$D$3:$D$157,$E$28,'2023 Business Log'!$K$3:$K$157,"Withdrawn")))</f>
        <v>0</v>
      </c>
      <c r="F34" s="43">
        <f t="shared" si="5"/>
        <v>0</v>
      </c>
      <c r="G34" s="20">
        <f>((SUMIFS('2023 Business Log'!$M$3:$M$157,'2023 Business Log'!$R$3:$R$157,A34,'2023 Business Log'!$T$3:$T$157,$G$28,'2023 Business Log'!$K$3:$K$157,"Withdrawn"))+(SUMIFS('2023 Business Log'!$L$3:$L$157,'2023 Business Log'!$R$3:$R$157,A34,'2023 Business Log'!$T$3:$T$157,$G$28,'2023 Business Log'!$K$3:$K$157,"Withdrawn")))</f>
        <v>0</v>
      </c>
      <c r="H34" s="20">
        <f>((SUMIFS('2023 Business Log'!$M$3:$M$157,'2023 Business Log'!$R$3:$R$157,A34,'2023 Business Log'!$T$3:$T$157,$H$28,'2023 Business Log'!$K$3:$K$157,"Withdrawn"))+(SUMIFS('2023 Business Log'!$L$3:$L$157,'2023 Business Log'!$R$3:$R$157,A34,'2023 Business Log'!$T$3:$T$157,$H$28,'2023 Business Log'!$K$3:$K$157,"Withdrawn")))</f>
        <v>0</v>
      </c>
      <c r="I34" s="20">
        <f>((SUMIFS('2023 Business Log'!$M$3:$M$157,'2023 Business Log'!$R$3:$R$157,A34,'2023 Business Log'!$T$3:$T$157,$I$28,'2023 Business Log'!$K$3:$K$157,"Withdrawn"))+(SUMIFS('2023 Business Log'!$L$3:$L$157,'2023 Business Log'!$R$3:$R$157,A34,'2023 Business Log'!$T$3:$T$157,$I$28,'2023 Business Log'!$K$3:$K$157,"Withdrawn")))</f>
        <v>0</v>
      </c>
      <c r="J34" s="20">
        <f>((SUMIFS('2023 Business Log'!$M$3:$M$157,'2023 Business Log'!$R$3:$R$157,A34,'2023 Business Log'!$T$3:$T$157,$J$28,'2023 Business Log'!$K$3:$K$157,"Withdrawn"))+(SUMIFS('2023 Business Log'!$L$3:$L$157,'2023 Business Log'!$R$3:$R$157,A34,'2023 Business Log'!$T$3:$T$157,$J$28,'2023 Business Log'!$K$3:$K$157,"Withdrawn")))</f>
        <v>0</v>
      </c>
      <c r="K34" s="24">
        <f>((SUMIFS('2023 Business Log'!$M$3:$M$157,'2023 Business Log'!$R$3:$R$157,A34,'2023 Business Log'!$T$3:$T$157,$K$28,'2023 Business Log'!$K$3:$K$157,"Withdrawn"))+(SUMIFS('2023 Business Log'!$L$3:$L$157,'2023 Business Log'!$R$3:$R$157,A34,'2023 Business Log'!$T$3:$T$157,$K$28,'2023 Business Log'!$K$3:$K$157,"Withdrawn")))</f>
        <v>0</v>
      </c>
    </row>
    <row r="35" spans="1:11" ht="16" thickBot="1" x14ac:dyDescent="0.25">
      <c r="A35" s="3">
        <f>'Data Source'!C12</f>
        <v>0</v>
      </c>
      <c r="B35" s="25">
        <f>((SUMIFS('2023 Business Log'!$M$3:$M$157,'2023 Business Log'!$R$3:$R$157,A35,'2023 Business Log'!$D$3:$D$157,$B$28,'2023 Business Log'!$K$3:$K$157,"Withdrawn"))+(SUMIFS('2023 Business Log'!$L$3:$L$157,'2023 Business Log'!$R$3:$R$157,A35,'2023 Business Log'!$D$3:$D$157,$B$28,'2023 Business Log'!$K$3:$K$157,"Withdrawn")))</f>
        <v>0</v>
      </c>
      <c r="C35" s="26">
        <f>((SUMIFS('2023 Business Log'!$M$3:$M$157,'2023 Business Log'!$R$3:$R$157,A35,'2023 Business Log'!$D$3:$D$157,$C$28,'2023 Business Log'!$K$3:$K$157,"Withdrawn"))+(SUMIFS('2023 Business Log'!$L$3:$L$157,'2023 Business Log'!$R$3:$R$157,A35,'2023 Business Log'!$D$3:$D$157,$C$28,'2023 Business Log'!$K$3:$K$157,"Withdrawn")))</f>
        <v>0</v>
      </c>
      <c r="D35" s="26">
        <f>((SUMIFS('2023 Business Log'!$M$3:$M$157,'2023 Business Log'!$R$3:$R$157,A35,'2023 Business Log'!$D$3:$D$157,$D$28,'2023 Business Log'!$K$3:$K$157,"Withdrawn"))+(SUMIFS('2023 Business Log'!$L$3:$L$157,'2023 Business Log'!$R$3:$R$157,A35,'2023 Business Log'!$D$3:$D$157,$D$28,'2023 Business Log'!$K$3:$K$157,"Withdrawn")))</f>
        <v>0</v>
      </c>
      <c r="E35" s="26">
        <f>((SUMIFS('2023 Business Log'!$M$3:$M$157,'2023 Business Log'!$R$3:$R$157,A35,'2023 Business Log'!$D$3:$D$157,$E$28,'2023 Business Log'!$K$3:$K$157,"Withdrawn"))+(SUMIFS('2023 Business Log'!$L$3:$L$157,'2023 Business Log'!$R$3:$R$157,A35,'2023 Business Log'!$D$3:$D$157,$E$28,'2023 Business Log'!$K$3:$K$157,"Withdrawn")))</f>
        <v>0</v>
      </c>
      <c r="F35" s="74">
        <f t="shared" si="5"/>
        <v>0</v>
      </c>
      <c r="G35" s="26">
        <f>((SUMIFS('2023 Business Log'!$M$3:$M$157,'2023 Business Log'!$R$3:$R$157,A35,'2023 Business Log'!$T$3:$T$157,$G$28,'2023 Business Log'!$K$3:$K$157,"Withdrawn"))+(SUMIFS('2023 Business Log'!$L$3:$L$157,'2023 Business Log'!$R$3:$R$157,A35,'2023 Business Log'!$T$3:$T$157,$G$28,'2023 Business Log'!$K$3:$K$157,"Withdrawn")))</f>
        <v>0</v>
      </c>
      <c r="H35" s="26">
        <f>((SUMIFS('2023 Business Log'!$M$3:$M$157,'2023 Business Log'!$R$3:$R$157,A35,'2023 Business Log'!$T$3:$T$157,$H$28,'2023 Business Log'!$K$3:$K$157,"Withdrawn"))+(SUMIFS('2023 Business Log'!$L$3:$L$157,'2023 Business Log'!$R$3:$R$157,A35,'2023 Business Log'!$T$3:$T$157,$H$28,'2023 Business Log'!$K$3:$K$157,"Withdrawn")))</f>
        <v>0</v>
      </c>
      <c r="I35" s="26">
        <f>((SUMIFS('2023 Business Log'!$M$3:$M$157,'2023 Business Log'!$R$3:$R$157,A35,'2023 Business Log'!$T$3:$T$157,$I$28,'2023 Business Log'!$K$3:$K$157,"Withdrawn"))+(SUMIFS('2023 Business Log'!$L$3:$L$157,'2023 Business Log'!$R$3:$R$157,A35,'2023 Business Log'!$T$3:$T$157,$I$28,'2023 Business Log'!$K$3:$K$157,"Withdrawn")))</f>
        <v>0</v>
      </c>
      <c r="J35" s="26">
        <f>((SUMIFS('2023 Business Log'!$M$3:$M$157,'2023 Business Log'!$R$3:$R$157,A35,'2023 Business Log'!$T$3:$T$157,$J$28,'2023 Business Log'!$K$3:$K$157,"Withdrawn"))+(SUMIFS('2023 Business Log'!$L$3:$L$157,'2023 Business Log'!$R$3:$R$157,A35,'2023 Business Log'!$T$3:$T$157,$J$28,'2023 Business Log'!$K$3:$K$157,"Withdrawn")))</f>
        <v>0</v>
      </c>
      <c r="K35" s="27">
        <f>((SUMIFS('2023 Business Log'!$M$3:$M$157,'2023 Business Log'!$R$3:$R$157,A35,'2023 Business Log'!$T$3:$T$157,$K$28,'2023 Business Log'!$K$3:$K$157,"Withdrawn"))+(SUMIFS('2023 Business Log'!$L$3:$L$157,'2023 Business Log'!$R$3:$R$157,A35,'2023 Business Log'!$T$3:$T$157,$K$28,'2023 Business Log'!$K$3:$K$157,"Withdrawn")))</f>
        <v>0</v>
      </c>
    </row>
    <row r="36" spans="1:11" ht="17" thickBot="1" x14ac:dyDescent="0.25">
      <c r="A36" s="5" t="s">
        <v>34</v>
      </c>
      <c r="B36" s="28">
        <f>SUM(B29:B32)</f>
        <v>0</v>
      </c>
      <c r="C36" s="29">
        <f>SUM(C29:C32)</f>
        <v>0</v>
      </c>
      <c r="D36" s="29">
        <f>SUM(D29:D32)</f>
        <v>30000</v>
      </c>
      <c r="E36" s="29">
        <f>SUM(E29:E32)</f>
        <v>0</v>
      </c>
      <c r="F36" s="72">
        <f t="shared" si="4"/>
        <v>30000</v>
      </c>
      <c r="G36" s="28">
        <f>SUM(G29:G32)</f>
        <v>0</v>
      </c>
      <c r="H36" s="29">
        <f>SUM(H29:H32)</f>
        <v>0</v>
      </c>
      <c r="I36" s="29">
        <f>SUM(I29:I32)</f>
        <v>0</v>
      </c>
      <c r="J36" s="37">
        <f>SUM(J29:J32)</f>
        <v>30000</v>
      </c>
      <c r="K36" s="38">
        <f>SUM(K29:K32)</f>
        <v>0</v>
      </c>
    </row>
    <row r="38" spans="1:11" ht="16" thickBot="1" x14ac:dyDescent="0.25"/>
    <row r="39" spans="1:11" ht="26" thickBot="1" x14ac:dyDescent="0.3">
      <c r="A39" s="306" t="s">
        <v>213</v>
      </c>
      <c r="B39" s="307"/>
      <c r="C39" s="307"/>
      <c r="D39" s="307"/>
      <c r="E39" s="308"/>
      <c r="F39" s="15"/>
      <c r="G39" s="322" t="s">
        <v>235</v>
      </c>
      <c r="H39" s="323"/>
      <c r="I39" s="323"/>
      <c r="J39" s="323"/>
      <c r="K39" s="324"/>
    </row>
    <row r="40" spans="1:11" ht="21" thickBot="1" x14ac:dyDescent="0.25">
      <c r="A40" s="309" t="s">
        <v>35</v>
      </c>
      <c r="B40" s="311" t="s">
        <v>61</v>
      </c>
      <c r="C40" s="312"/>
      <c r="D40" s="312"/>
      <c r="E40" s="313"/>
      <c r="F40" s="18"/>
      <c r="G40" s="298" t="s">
        <v>35</v>
      </c>
      <c r="H40" s="300" t="s">
        <v>236</v>
      </c>
      <c r="I40" s="301"/>
      <c r="J40" s="301"/>
      <c r="K40" s="302"/>
    </row>
    <row r="41" spans="1:11" ht="16" thickBot="1" x14ac:dyDescent="0.25">
      <c r="A41" s="310"/>
      <c r="B41" s="99" t="str">
        <f>'Data Source'!A6</f>
        <v>Annuity</v>
      </c>
      <c r="C41" s="100" t="str">
        <f>'Data Source'!A7</f>
        <v>AUM</v>
      </c>
      <c r="D41" s="100" t="str">
        <f>'Data Source'!A8</f>
        <v>Life</v>
      </c>
      <c r="E41" s="240" t="str">
        <f>'Data Source'!A9</f>
        <v>Med Supp</v>
      </c>
      <c r="F41" s="102"/>
      <c r="G41" s="299"/>
      <c r="H41" s="99" t="str">
        <f>'Data Source'!A6</f>
        <v>Annuity</v>
      </c>
      <c r="I41" s="100" t="str">
        <f>'Data Source'!A7</f>
        <v>AUM</v>
      </c>
      <c r="J41" s="100" t="str">
        <f>'Data Source'!A8</f>
        <v>Life</v>
      </c>
      <c r="K41" s="240" t="str">
        <f>'Data Source'!A9</f>
        <v>Med Supp</v>
      </c>
    </row>
    <row r="42" spans="1:11" x14ac:dyDescent="0.2">
      <c r="A42" s="3" t="str">
        <f>'Data Source'!C6</f>
        <v>HS</v>
      </c>
      <c r="B42" s="241">
        <f>AVERAGEIFS('2023 Business Log'!$P$3:$P$157,'2023 Business Log'!$R$3:$R$157,A42,'2023 Business Log'!$D$3:$D$157,$B$41,'2023 Business Log'!$K$3:$K$157,"Issued")</f>
        <v>33.75</v>
      </c>
      <c r="C42" s="242">
        <f>AVERAGEIFS('2023 Business Log'!$P$3:$P$157,'2023 Business Log'!$R$3:$R$157,A42,'2023 Business Log'!$D$3:$D$157,$C$41,'2023 Business Log'!$K$3:$K$157,"Issued")</f>
        <v>12.75</v>
      </c>
      <c r="D42" s="242">
        <f>AVERAGEIFS('2023 Business Log'!$P$3:$P$157,'2023 Business Log'!$R$3:$R$157,A42,'2023 Business Log'!$D$3:$D$157,$D$41,'2023 Business Log'!$K$3:$K$157,"Issued")</f>
        <v>84</v>
      </c>
      <c r="E42" s="243" t="e">
        <f>AVERAGEIFS('2023 Business Log'!$P$3:$P$157,'2023 Business Log'!$R$3:$R$157,A42,'2023 Business Log'!$D$3:$D$157,$E$41,'2023 Business Log'!$K$3:$K$157,"Issued")</f>
        <v>#DIV/0!</v>
      </c>
      <c r="F42" s="4"/>
      <c r="G42" s="3" t="str">
        <f>'Data Source'!C6</f>
        <v>HS</v>
      </c>
      <c r="H42" s="241">
        <f ca="1">AVERAGEIFS('2023 Business Log'!$O$3:$O$157,'2023 Business Log'!$R$3:$R$157,A42,'2023 Business Log'!$D$3:$D$157,$H$41,'2023 Business Log'!$K$3:$K$157,"Pending")</f>
        <v>134</v>
      </c>
      <c r="I42" s="242">
        <f ca="1">AVERAGEIFS('2023 Business Log'!$O$3:$O$157,'2023 Business Log'!$R$3:$R$157,A42,'2023 Business Log'!$D$3:$D$157,$I$41,'2023 Business Log'!$K$3:$K$157,"Pending")</f>
        <v>74</v>
      </c>
      <c r="J42" s="242" t="e">
        <f>AVERAGEIFS('2023 Business Log'!$O$3:$O$157,'2023 Business Log'!$R$3:$R$157,A42,'2023 Business Log'!$D$3:$D$157,$J$41,'2023 Business Log'!$K$3:$K$157,"Pending")</f>
        <v>#DIV/0!</v>
      </c>
      <c r="K42" s="243" t="e">
        <f>AVERAGEIFS('2023 Business Log'!$O$3:$O$157,'2023 Business Log'!$R$3:$R$157,A42,'2023 Business Log'!$D$3:$D$157,$K$41,'2023 Business Log'!$K$3:$K$157,"Pending")</f>
        <v>#DIV/0!</v>
      </c>
    </row>
    <row r="43" spans="1:11" x14ac:dyDescent="0.2">
      <c r="A43" s="3" t="str">
        <f>'Data Source'!C7</f>
        <v>LB</v>
      </c>
      <c r="B43" s="244">
        <f>AVERAGEIFS('2023 Business Log'!$P$3:$P$157,'2023 Business Log'!$R$3:$R$157,A43,'2023 Business Log'!$D$3:$D$157,$B$41,'2023 Business Log'!$K$3:$K$157,"Issued")</f>
        <v>16.5</v>
      </c>
      <c r="C43" s="245" t="e">
        <f>AVERAGEIFS('2023 Business Log'!$P$3:$P$157,'2023 Business Log'!$R$3:$R$157,A43,'2023 Business Log'!$D$3:$D$157,$C$41,'2023 Business Log'!$K$3:$K$157,"Issued")</f>
        <v>#DIV/0!</v>
      </c>
      <c r="D43" s="245" t="e">
        <f>AVERAGEIFS('2023 Business Log'!$P$3:$P$157,'2023 Business Log'!$R$3:$R$157,A43,'2023 Business Log'!$D$3:$D$157,$D$41,'2023 Business Log'!$K$3:$K$157,"Issued")</f>
        <v>#DIV/0!</v>
      </c>
      <c r="E43" s="246">
        <f>AVERAGEIFS('2023 Business Log'!$P$3:$P$157,'2023 Business Log'!$R$3:$R$157,A43,'2023 Business Log'!$D$3:$D$157,$E$41,'2023 Business Log'!$K$3:$K$157,"Issued")</f>
        <v>34</v>
      </c>
      <c r="F43" s="4"/>
      <c r="G43" s="3" t="str">
        <f>'Data Source'!C7</f>
        <v>LB</v>
      </c>
      <c r="H43" s="244">
        <f ca="1">AVERAGEIFS('2023 Business Log'!$O$3:$O$157,'2023 Business Log'!$R$3:$R$157,A43,'2023 Business Log'!$D$3:$D$157,$H$41,'2023 Business Log'!$K$3:$K$157,"Pending")</f>
        <v>89</v>
      </c>
      <c r="I43" s="245" t="e">
        <f>AVERAGEIFS('2023 Business Log'!$O$3:$O$157,'2023 Business Log'!$R$3:$R$157,A43,'2023 Business Log'!$D$3:$D$157,$I$41,'2023 Business Log'!$K$3:$K$157,"Pending")</f>
        <v>#DIV/0!</v>
      </c>
      <c r="J43" s="245" t="e">
        <f>AVERAGEIFS('2023 Business Log'!$O$3:$O$157,'2023 Business Log'!$R$3:$R$157,A43,'2023 Business Log'!$D$3:$D$157,$J$41,'2023 Business Log'!$K$3:$K$157,"Pending")</f>
        <v>#DIV/0!</v>
      </c>
      <c r="K43" s="246">
        <f ca="1">AVERAGEIFS('2023 Business Log'!$O$3:$O$157,'2023 Business Log'!$R$3:$R$157,A43,'2023 Business Log'!$D$3:$D$157,$K$41,'2023 Business Log'!$K$3:$K$157,"Pending")</f>
        <v>81</v>
      </c>
    </row>
    <row r="44" spans="1:11" x14ac:dyDescent="0.2">
      <c r="A44" s="3" t="str">
        <f>'Data Source'!C8</f>
        <v>MD</v>
      </c>
      <c r="B44" s="244">
        <f>AVERAGEIFS('2023 Business Log'!$P$3:$P$157,'2023 Business Log'!$R$3:$R$157,A44,'2023 Business Log'!$D$3:$D$157,$B$41,'2023 Business Log'!$K$3:$K$157,"Issued")</f>
        <v>29.5</v>
      </c>
      <c r="C44" s="245">
        <f>AVERAGEIFS('2023 Business Log'!$P$3:$P$157,'2023 Business Log'!$R$3:$R$157,A44,'2023 Business Log'!$D$3:$D$157,$C$41,'2023 Business Log'!$K$3:$K$157,"Issued")</f>
        <v>9.6666666666666661</v>
      </c>
      <c r="D44" s="245">
        <f>AVERAGEIFS('2023 Business Log'!$P$3:$P$157,'2023 Business Log'!$R$3:$R$157,A44,'2023 Business Log'!$D$3:$D$157,$D$41,'2023 Business Log'!$K$3:$K$157,"Issued")</f>
        <v>63</v>
      </c>
      <c r="E44" s="246" t="e">
        <f>AVERAGEIFS('2023 Business Log'!$P$3:$P$157,'2023 Business Log'!$R$3:$R$157,A44,'2023 Business Log'!$D$3:$D$157,$E$41,'2023 Business Log'!$K$3:$K$157,"Issued")</f>
        <v>#DIV/0!</v>
      </c>
      <c r="F44" s="4"/>
      <c r="G44" s="3" t="str">
        <f>'Data Source'!C8</f>
        <v>MD</v>
      </c>
      <c r="H44" s="244">
        <f ca="1">AVERAGEIFS('2023 Business Log'!$O$3:$O$157,'2023 Business Log'!$R$3:$R$157,A44,'2023 Business Log'!$D$3:$D$157,$H$41,'2023 Business Log'!$K$3:$K$157,"Pending")</f>
        <v>71</v>
      </c>
      <c r="I44" s="245">
        <f ca="1">AVERAGEIFS('2023 Business Log'!$O$3:$O$157,'2023 Business Log'!$R$3:$R$157,A44,'2023 Business Log'!$D$3:$D$157,$I$41,'2023 Business Log'!$K$3:$K$157,"Pending")</f>
        <v>85</v>
      </c>
      <c r="J44" s="245">
        <f ca="1">AVERAGEIFS('2023 Business Log'!$O$3:$O$157,'2023 Business Log'!$R$3:$R$157,A44,'2023 Business Log'!$D$3:$D$157,$J$41,'2023 Business Log'!$K$3:$K$157,"Pending")</f>
        <v>65</v>
      </c>
      <c r="K44" s="246" t="e">
        <f>AVERAGEIFS('2023 Business Log'!$O$3:$O$157,'2023 Business Log'!$R$3:$R$157,A44,'2023 Business Log'!$D$3:$D$157,$K$41,'2023 Business Log'!$K$3:$K$157,"Pending")</f>
        <v>#DIV/0!</v>
      </c>
    </row>
    <row r="45" spans="1:11" x14ac:dyDescent="0.2">
      <c r="A45" s="3" t="str">
        <f>'Data Source'!C9</f>
        <v>RD</v>
      </c>
      <c r="B45" s="244">
        <f>AVERAGEIFS('2023 Business Log'!$P$3:$P$157,'2023 Business Log'!$R$3:$R$157,A45,'2023 Business Log'!$D$3:$D$157,$B$41,'2023 Business Log'!$K$3:$K$157,"Issued")</f>
        <v>13</v>
      </c>
      <c r="C45" s="245">
        <f>AVERAGEIFS('2023 Business Log'!$P$3:$P$157,'2023 Business Log'!$R$3:$R$157,A45,'2023 Business Log'!$D$3:$D$157,$C$41,'2023 Business Log'!$K$3:$K$157,"Issued")</f>
        <v>14</v>
      </c>
      <c r="D45" s="245">
        <f>AVERAGEIFS('2023 Business Log'!$P$3:$P$157,'2023 Business Log'!$R$3:$R$157,A45,'2023 Business Log'!$D$3:$D$157,$D$41,'2023 Business Log'!$K$3:$K$157,"Issued")</f>
        <v>74.5</v>
      </c>
      <c r="E45" s="246">
        <f>AVERAGEIFS('2023 Business Log'!$P$3:$P$157,'2023 Business Log'!$R$3:$R$157,A45,'2023 Business Log'!$D$3:$D$157,$E$41,'2023 Business Log'!$K$3:$K$157,"Issued")</f>
        <v>5</v>
      </c>
      <c r="F45" s="4"/>
      <c r="G45" s="3" t="str">
        <f>'Data Source'!C9</f>
        <v>RD</v>
      </c>
      <c r="H45" s="244" t="e">
        <f>AVERAGEIFS('2023 Business Log'!$O$3:$O$157,'2023 Business Log'!$R$3:$R$157,A45,'2023 Business Log'!$D$3:$D$157,$H$41,'2023 Business Log'!$K$3:$K$157,"Pending")</f>
        <v>#DIV/0!</v>
      </c>
      <c r="I45" s="245">
        <f ca="1">AVERAGEIFS('2023 Business Log'!$O$3:$O$157,'2023 Business Log'!$R$3:$R$157,A45,'2023 Business Log'!$D$3:$D$157,$I$41,'2023 Business Log'!$K$3:$K$157,"Pending")</f>
        <v>145</v>
      </c>
      <c r="J45" s="245" t="e">
        <f>AVERAGEIFS('2023 Business Log'!$O$3:$O$157,'2023 Business Log'!$R$3:$R$157,A45,'2023 Business Log'!$D$3:$D$157,$J$41,'2023 Business Log'!$K$3:$K$157,"Pending")</f>
        <v>#DIV/0!</v>
      </c>
      <c r="K45" s="246" t="e">
        <f>AVERAGEIFS('2023 Business Log'!$O$3:$O$157,'2023 Business Log'!$R$3:$R$157,A45,'2023 Business Log'!$D$3:$D$157,$K$41,'2023 Business Log'!$K$3:$K$157,"Pending")</f>
        <v>#DIV/0!</v>
      </c>
    </row>
    <row r="46" spans="1:11" x14ac:dyDescent="0.2">
      <c r="A46" s="3">
        <f>'Data Source'!C10</f>
        <v>0</v>
      </c>
      <c r="B46" s="244" t="e">
        <f>AVERAGEIFS('2023 Business Log'!$P$3:$P$157,'2023 Business Log'!$R$3:$R$157,A46,'2023 Business Log'!$D$3:$D$157,$B$41,'2023 Business Log'!$K$3:$K$157,"Issued")</f>
        <v>#DIV/0!</v>
      </c>
      <c r="C46" s="245" t="e">
        <f>AVERAGEIFS('2023 Business Log'!$P$3:$P$157,'2023 Business Log'!$R$3:$R$157,A46,'2023 Business Log'!$D$3:$D$157,$C$41,'2023 Business Log'!$K$3:$K$157,"Issued")</f>
        <v>#DIV/0!</v>
      </c>
      <c r="D46" s="245" t="e">
        <f>AVERAGEIFS('2023 Business Log'!$P$3:$P$157,'2023 Business Log'!$R$3:$R$157,A46,'2023 Business Log'!$D$3:$D$157,$D$41,'2023 Business Log'!$K$3:$K$157,"Issued")</f>
        <v>#DIV/0!</v>
      </c>
      <c r="E46" s="246" t="e">
        <f>AVERAGEIFS('2023 Business Log'!$P$3:$P$157,'2023 Business Log'!$R$3:$R$157,A46,'2023 Business Log'!$D$3:$D$157,$E$41,'2023 Business Log'!$K$3:$K$157,"Issued")</f>
        <v>#DIV/0!</v>
      </c>
      <c r="F46" s="4"/>
      <c r="G46" s="3">
        <f>'Data Source'!C10</f>
        <v>0</v>
      </c>
      <c r="H46" s="244" t="e">
        <f>AVERAGEIFS('2023 Business Log'!$O$3:$O$157,'2023 Business Log'!$R$3:$R$157,A46,'2023 Business Log'!$D$3:$D$157,$H$41,'2023 Business Log'!$K$3:$K$157,"Pending")</f>
        <v>#DIV/0!</v>
      </c>
      <c r="I46" s="245" t="e">
        <f>AVERAGEIFS('2023 Business Log'!$O$3:$O$157,'2023 Business Log'!$R$3:$R$157,A46,'2023 Business Log'!$D$3:$D$157,$I$41,'2023 Business Log'!$K$3:$K$157,"Pending")</f>
        <v>#DIV/0!</v>
      </c>
      <c r="J46" s="245" t="e">
        <f>AVERAGEIFS('2023 Business Log'!$O$3:$O$157,'2023 Business Log'!$R$3:$R$157,A46,'2023 Business Log'!$D$3:$D$157,$J$41,'2023 Business Log'!$K$3:$K$157,"Pending")</f>
        <v>#DIV/0!</v>
      </c>
      <c r="K46" s="246" t="e">
        <f>AVERAGEIFS('2023 Business Log'!$O$3:$O$157,'2023 Business Log'!$R$3:$R$157,A46,'2023 Business Log'!$D$3:$D$157,$K$41,'2023 Business Log'!$K$3:$K$157,"Pending")</f>
        <v>#DIV/0!</v>
      </c>
    </row>
    <row r="47" spans="1:11" x14ac:dyDescent="0.2">
      <c r="A47" s="3">
        <f>'Data Source'!C11</f>
        <v>0</v>
      </c>
      <c r="B47" s="244" t="e">
        <f>AVERAGEIFS('2023 Business Log'!$P$3:$P$157,'2023 Business Log'!$R$3:$R$157,A47,'2023 Business Log'!$D$3:$D$157,$B$41,'2023 Business Log'!$K$3:$K$157,"Issued")</f>
        <v>#DIV/0!</v>
      </c>
      <c r="C47" s="245" t="e">
        <f>AVERAGEIFS('2023 Business Log'!$P$3:$P$157,'2023 Business Log'!$R$3:$R$157,A47,'2023 Business Log'!$D$3:$D$157,$C$41,'2023 Business Log'!$K$3:$K$157,"Issued")</f>
        <v>#DIV/0!</v>
      </c>
      <c r="D47" s="245" t="e">
        <f>AVERAGEIFS('2023 Business Log'!$P$3:$P$157,'2023 Business Log'!$R$3:$R$157,A47,'2023 Business Log'!$D$3:$D$157,$D$41,'2023 Business Log'!$K$3:$K$157,"Issued")</f>
        <v>#DIV/0!</v>
      </c>
      <c r="E47" s="246" t="e">
        <f>AVERAGEIFS('2023 Business Log'!$P$3:$P$157,'2023 Business Log'!$R$3:$R$157,A47,'2023 Business Log'!$D$3:$D$157,$E$41,'2023 Business Log'!$K$3:$K$157,"Issued")</f>
        <v>#DIV/0!</v>
      </c>
      <c r="F47" s="4"/>
      <c r="G47" s="3">
        <f>'Data Source'!C11</f>
        <v>0</v>
      </c>
      <c r="H47" s="244" t="e">
        <f>AVERAGEIFS('2023 Business Log'!$O$3:$O$157,'2023 Business Log'!$R$3:$R$157,A47,'2023 Business Log'!$D$3:$D$157,$H$41,'2023 Business Log'!$K$3:$K$157,"Pending")</f>
        <v>#DIV/0!</v>
      </c>
      <c r="I47" s="245" t="e">
        <f>AVERAGEIFS('2023 Business Log'!$O$3:$O$157,'2023 Business Log'!$R$3:$R$157,A47,'2023 Business Log'!$D$3:$D$157,$I$41,'2023 Business Log'!$K$3:$K$157,"Pending")</f>
        <v>#DIV/0!</v>
      </c>
      <c r="J47" s="245" t="e">
        <f>AVERAGEIFS('2023 Business Log'!$O$3:$O$157,'2023 Business Log'!$R$3:$R$157,A47,'2023 Business Log'!$D$3:$D$157,$J$41,'2023 Business Log'!$K$3:$K$157,"Pending")</f>
        <v>#DIV/0!</v>
      </c>
      <c r="K47" s="246" t="e">
        <f>AVERAGEIFS('2023 Business Log'!$O$3:$O$157,'2023 Business Log'!$R$3:$R$157,A47,'2023 Business Log'!$D$3:$D$157,$K$41,'2023 Business Log'!$K$3:$K$157,"Pending")</f>
        <v>#DIV/0!</v>
      </c>
    </row>
    <row r="48" spans="1:11" ht="17" thickBot="1" x14ac:dyDescent="0.25">
      <c r="A48" s="3">
        <f>'Data Source'!C12</f>
        <v>0</v>
      </c>
      <c r="B48" s="250" t="e">
        <f>AVERAGEIFS('2023 Business Log'!$P$3:$P$157,'2023 Business Log'!$R$3:$R$157,A48,'2023 Business Log'!$D$3:$D$157,$B$41,'2023 Business Log'!$K$3:$K$157,"Issued")</f>
        <v>#DIV/0!</v>
      </c>
      <c r="C48" s="251" t="e">
        <f>AVERAGEIFS('2023 Business Log'!$P$3:$P$157,'2023 Business Log'!$R$3:$R$157,A48,'2023 Business Log'!$D$3:$D$157,$C$41,'2023 Business Log'!$K$3:$K$157,"Issued")</f>
        <v>#DIV/0!</v>
      </c>
      <c r="D48" s="251" t="e">
        <f>AVERAGEIFS('2023 Business Log'!$P$3:$P$157,'2023 Business Log'!$R$3:$R$157,A48,'2023 Business Log'!$D$3:$D$157,$D$41,'2023 Business Log'!$K$3:$K$157,"Issued")</f>
        <v>#DIV/0!</v>
      </c>
      <c r="E48" s="252" t="e">
        <f>AVERAGEIFS('2023 Business Log'!$P$3:$P$157,'2023 Business Log'!$R$3:$R$157,A48,'2023 Business Log'!$D$3:$D$157,$E$41,'2023 Business Log'!$K$3:$K$157,"Issued")</f>
        <v>#DIV/0!</v>
      </c>
      <c r="F48" s="17"/>
      <c r="G48" s="3">
        <f>'Data Source'!C12</f>
        <v>0</v>
      </c>
      <c r="H48" s="250" t="e">
        <f>AVERAGEIFS('2023 Business Log'!$O$3:$O$157,'2023 Business Log'!$R$3:$R$157,A48,'2023 Business Log'!$D$3:$D$157,$H$41,'2023 Business Log'!$K$3:$K$157,"Pending")</f>
        <v>#DIV/0!</v>
      </c>
      <c r="I48" s="251" t="e">
        <f>AVERAGEIFS('2023 Business Log'!$O$3:$O$157,'2023 Business Log'!$R$3:$R$157,A48,'2023 Business Log'!$D$3:$D$157,$I$41,'2023 Business Log'!$K$3:$K$157,"Pending")</f>
        <v>#DIV/0!</v>
      </c>
      <c r="J48" s="251" t="e">
        <f>AVERAGEIFS('2023 Business Log'!$O$3:$O$157,'2023 Business Log'!$R$3:$R$157,A48,'2023 Business Log'!$D$3:$D$157,$J$41,'2023 Business Log'!$K$3:$K$157,"Pending")</f>
        <v>#DIV/0!</v>
      </c>
      <c r="K48" s="252" t="e">
        <f>AVERAGEIFS('2023 Business Log'!$O$3:$O$157,'2023 Business Log'!$R$3:$R$157,A48,'2023 Business Log'!$D$3:$D$157,$K$41,'2023 Business Log'!$K$3:$K$157,"Pending")</f>
        <v>#DIV/0!</v>
      </c>
    </row>
    <row r="49" spans="1:11" s="103" customFormat="1" ht="35" thickBot="1" x14ac:dyDescent="0.25">
      <c r="A49" s="40" t="s">
        <v>60</v>
      </c>
      <c r="B49" s="256">
        <f>AVERAGEIFS('2023 Business Log'!$P$3:$P$157,'2023 Business Log'!$D$3:$D$157,$B$41,'2023 Business Log'!$K$3:$K$157,"Issued")</f>
        <v>24.333333333333332</v>
      </c>
      <c r="C49" s="257">
        <f>AVERAGEIFS('2023 Business Log'!$P$3:$P$157,'2023 Business Log'!$D$3:$D$157,$C$41,'2023 Business Log'!$K$3:$K$157,"Issued")</f>
        <v>12</v>
      </c>
      <c r="D49" s="257">
        <f>AVERAGEIFS('2023 Business Log'!$P$3:$P$157,'2023 Business Log'!$D$3:$D$157,$D$41,'2023 Business Log'!$K$3:$K$157,"Issued")</f>
        <v>71.8</v>
      </c>
      <c r="E49" s="258">
        <f>AVERAGEIFS('2023 Business Log'!$P$3:$P$157,'2023 Business Log'!$D$3:$D$157,$E$41,'2023 Business Log'!$K$3:$K$157,"Issued")</f>
        <v>19.5</v>
      </c>
      <c r="G49" s="40" t="s">
        <v>60</v>
      </c>
      <c r="H49" s="256">
        <f ca="1">AVERAGEIFS('2023 Business Log'!$O$3:$O$157,'2023 Business Log'!$D$3:$D$157,$H$41,'2023 Business Log'!$K$3:$K$157,"Pending")</f>
        <v>98</v>
      </c>
      <c r="I49" s="257">
        <f ca="1">AVERAGEIFS('2023 Business Log'!$O$3:$O$157,'2023 Business Log'!$D$3:$D$157,$I$41,'2023 Business Log'!$K$3:$K$157,"Pending")</f>
        <v>101.33333333333333</v>
      </c>
      <c r="J49" s="257">
        <f ca="1">AVERAGEIFS('2023 Business Log'!$O$3:$O$157,'2023 Business Log'!$D$3:$D$157,$J$41,'2023 Business Log'!$K$3:$K$157,"Pending")</f>
        <v>65</v>
      </c>
      <c r="K49" s="258">
        <f ca="1">AVERAGEIFS('2023 Business Log'!$O$3:$O$157,'2023 Business Log'!$D$3:$D$157,$K$41,'2023 Business Log'!$K$3:$K$157,"Pending")</f>
        <v>81</v>
      </c>
    </row>
  </sheetData>
  <sheetProtection sheet="1" objects="1" scenarios="1" selectLockedCells="1"/>
  <mergeCells count="22">
    <mergeCell ref="A40:A41"/>
    <mergeCell ref="B40:E40"/>
    <mergeCell ref="M9:O9"/>
    <mergeCell ref="M10:O10"/>
    <mergeCell ref="A14:K14"/>
    <mergeCell ref="A15:A16"/>
    <mergeCell ref="B15:F15"/>
    <mergeCell ref="G15:K15"/>
    <mergeCell ref="A26:K26"/>
    <mergeCell ref="A27:A28"/>
    <mergeCell ref="B27:F27"/>
    <mergeCell ref="G27:K27"/>
    <mergeCell ref="A39:E39"/>
    <mergeCell ref="G39:K39"/>
    <mergeCell ref="G40:G41"/>
    <mergeCell ref="H40:K40"/>
    <mergeCell ref="M8:O8"/>
    <mergeCell ref="A2:K2"/>
    <mergeCell ref="A3:A4"/>
    <mergeCell ref="B3:F3"/>
    <mergeCell ref="G3:K3"/>
    <mergeCell ref="M5:Q6"/>
  </mergeCells>
  <conditionalFormatting sqref="A5:A11">
    <cfRule type="cellIs" dxfId="17" priority="6" operator="equal">
      <formula>0</formula>
    </cfRule>
  </conditionalFormatting>
  <conditionalFormatting sqref="A17:A23">
    <cfRule type="cellIs" dxfId="16" priority="4" operator="equal">
      <formula>0</formula>
    </cfRule>
  </conditionalFormatting>
  <conditionalFormatting sqref="A29:A35">
    <cfRule type="cellIs" dxfId="15" priority="3" operator="equal">
      <formula>0</formula>
    </cfRule>
  </conditionalFormatting>
  <conditionalFormatting sqref="A42:A48">
    <cfRule type="cellIs" dxfId="14" priority="2" operator="equal">
      <formula>0</formula>
    </cfRule>
  </conditionalFormatting>
  <conditionalFormatting sqref="B42:E49">
    <cfRule type="containsErrors" dxfId="13" priority="8">
      <formula>ISERROR(B42)</formula>
    </cfRule>
  </conditionalFormatting>
  <conditionalFormatting sqref="G42:G48">
    <cfRule type="cellIs" dxfId="12" priority="1" operator="equal">
      <formula>0</formula>
    </cfRule>
  </conditionalFormatting>
  <conditionalFormatting sqref="H42:K49">
    <cfRule type="containsErrors" dxfId="11" priority="7">
      <formula>ISERROR(H42)</formula>
    </cfRule>
  </conditionalFormatting>
  <pageMargins left="0.25" right="0.25" top="0.25" bottom="0.25" header="0.3" footer="0.3"/>
  <pageSetup scale="71" fitToHeight="0" orientation="landscape" verticalDpi="597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DF663-089A-4511-A344-145348F920C2}">
  <sheetPr codeName="Sheet3"/>
  <dimension ref="A1:U165"/>
  <sheetViews>
    <sheetView zoomScale="90" zoomScaleNormal="90" workbookViewId="0">
      <pane xSplit="3" ySplit="2" topLeftCell="F3" activePane="bottomRight" state="frozen"/>
      <selection pane="topRight" activeCell="D1" sqref="D1"/>
      <selection pane="bottomLeft" activeCell="A3" sqref="A3"/>
      <selection pane="bottomRight" activeCell="N5" sqref="N5"/>
    </sheetView>
  </sheetViews>
  <sheetFormatPr baseColWidth="10" defaultColWidth="8.6640625" defaultRowHeight="15" x14ac:dyDescent="0.2"/>
  <cols>
    <col min="1" max="1" width="10.5" style="133" customWidth="1"/>
    <col min="2" max="3" width="14.33203125" style="133" bestFit="1" customWidth="1"/>
    <col min="4" max="4" width="13" style="133" bestFit="1" customWidth="1"/>
    <col min="5" max="5" width="19.6640625" style="133" customWidth="1"/>
    <col min="6" max="6" width="14.5" style="133" bestFit="1" customWidth="1"/>
    <col min="7" max="7" width="14.6640625" style="133" bestFit="1" customWidth="1"/>
    <col min="8" max="8" width="11.1640625" style="133" bestFit="1" customWidth="1"/>
    <col min="9" max="9" width="14.33203125" style="117" bestFit="1" customWidth="1"/>
    <col min="10" max="10" width="11.5" style="117" bestFit="1" customWidth="1"/>
    <col min="11" max="11" width="14.6640625" style="117" bestFit="1" customWidth="1"/>
    <col min="12" max="12" width="13.33203125" style="117" bestFit="1" customWidth="1"/>
    <col min="13" max="13" width="13.6640625" style="117" bestFit="1" customWidth="1"/>
    <col min="14" max="15" width="12.5" style="117" bestFit="1" customWidth="1"/>
    <col min="16" max="16" width="12.6640625" style="117" bestFit="1" customWidth="1"/>
    <col min="17" max="17" width="13.83203125" style="117" bestFit="1" customWidth="1"/>
    <col min="18" max="18" width="9.5" style="117" bestFit="1" customWidth="1"/>
    <col min="19" max="19" width="16.6640625" style="117" bestFit="1" customWidth="1"/>
    <col min="20" max="20" width="11.83203125" style="117" bestFit="1" customWidth="1"/>
    <col min="21" max="21" width="60" style="134" customWidth="1"/>
    <col min="22" max="16384" width="8.6640625" style="117"/>
  </cols>
  <sheetData>
    <row r="1" spans="1:21" s="104" customFormat="1" ht="20.25" customHeight="1" thickBot="1" x14ac:dyDescent="0.2">
      <c r="A1" s="341" t="s">
        <v>219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  <c r="T1" s="342"/>
      <c r="U1" s="342"/>
    </row>
    <row r="2" spans="1:21" s="108" customFormat="1" ht="46" thickBot="1" x14ac:dyDescent="0.25">
      <c r="A2" s="105" t="s">
        <v>16</v>
      </c>
      <c r="B2" s="106" t="s">
        <v>220</v>
      </c>
      <c r="C2" s="106" t="s">
        <v>221</v>
      </c>
      <c r="D2" s="106" t="s">
        <v>0</v>
      </c>
      <c r="E2" s="106" t="s">
        <v>1</v>
      </c>
      <c r="F2" s="106" t="s">
        <v>268</v>
      </c>
      <c r="G2" s="106" t="s">
        <v>3</v>
      </c>
      <c r="H2" s="106" t="s">
        <v>269</v>
      </c>
      <c r="I2" s="106" t="s">
        <v>270</v>
      </c>
      <c r="J2" s="106" t="s">
        <v>271</v>
      </c>
      <c r="K2" s="106" t="s">
        <v>224</v>
      </c>
      <c r="L2" s="106" t="s">
        <v>272</v>
      </c>
      <c r="M2" s="106" t="s">
        <v>273</v>
      </c>
      <c r="N2" s="106" t="s">
        <v>274</v>
      </c>
      <c r="O2" s="106" t="s">
        <v>223</v>
      </c>
      <c r="P2" s="106" t="s">
        <v>222</v>
      </c>
      <c r="Q2" s="106" t="s">
        <v>275</v>
      </c>
      <c r="R2" s="106" t="s">
        <v>35</v>
      </c>
      <c r="S2" s="106" t="s">
        <v>36</v>
      </c>
      <c r="T2" s="106" t="s">
        <v>62</v>
      </c>
      <c r="U2" s="107" t="s">
        <v>55</v>
      </c>
    </row>
    <row r="3" spans="1:21" s="104" customFormat="1" ht="14" x14ac:dyDescent="0.15">
      <c r="A3" s="109" t="s">
        <v>17</v>
      </c>
      <c r="B3" s="109"/>
      <c r="C3" s="109"/>
      <c r="D3" s="109" t="s">
        <v>12</v>
      </c>
      <c r="E3" s="109"/>
      <c r="F3" s="110">
        <v>44180</v>
      </c>
      <c r="G3" s="110">
        <v>44181</v>
      </c>
      <c r="H3" s="110">
        <v>44201</v>
      </c>
      <c r="I3" s="110"/>
      <c r="J3" s="138">
        <f t="shared" ref="J3:J34" ca="1" si="0">TODAY()</f>
        <v>45103</v>
      </c>
      <c r="K3" s="110" t="s">
        <v>225</v>
      </c>
      <c r="L3" s="111">
        <v>0</v>
      </c>
      <c r="M3" s="111">
        <v>50000</v>
      </c>
      <c r="N3" s="111">
        <v>50000</v>
      </c>
      <c r="O3" s="140" cm="1">
        <f t="array" aca="1" ref="O3" ca="1">_xlfn.IFS(K3="Pending",DAYS360(F3,J3),K3="Issued",DAYS360(F3,H3),K3="Withdrawn",DAYS360(F3,I3))</f>
        <v>20</v>
      </c>
      <c r="P3" s="140">
        <f t="shared" ref="P3:P34" si="1">IF(K3="Issued",DAYS360(F3,H3),"NA")</f>
        <v>20</v>
      </c>
      <c r="Q3" s="111"/>
      <c r="R3" s="112" t="s">
        <v>51</v>
      </c>
      <c r="S3" s="112" t="s">
        <v>45</v>
      </c>
      <c r="T3" s="113" t="s">
        <v>63</v>
      </c>
      <c r="U3" s="114"/>
    </row>
    <row r="4" spans="1:21" s="104" customFormat="1" ht="14" x14ac:dyDescent="0.15">
      <c r="A4" s="109" t="s">
        <v>31</v>
      </c>
      <c r="B4" s="109"/>
      <c r="C4" s="109"/>
      <c r="D4" s="109" t="s">
        <v>12</v>
      </c>
      <c r="E4" s="109"/>
      <c r="F4" s="110">
        <v>44191</v>
      </c>
      <c r="G4" s="110">
        <v>44191</v>
      </c>
      <c r="H4" s="115">
        <v>44199</v>
      </c>
      <c r="I4" s="110"/>
      <c r="J4" s="138">
        <f t="shared" ca="1" si="0"/>
        <v>45103</v>
      </c>
      <c r="K4" s="110" t="s">
        <v>225</v>
      </c>
      <c r="L4" s="111">
        <v>0</v>
      </c>
      <c r="M4" s="111">
        <v>800000</v>
      </c>
      <c r="N4" s="111">
        <v>800000</v>
      </c>
      <c r="O4" s="140" cm="1">
        <f t="array" aca="1" ref="O4" ca="1">_xlfn.IFS(K4="Pending",DAYS360(F4,J4),K4="Issued",DAYS360(F4,H4),K4="Withdrawn",DAYS360(F4,I4))</f>
        <v>7</v>
      </c>
      <c r="P4" s="140">
        <f t="shared" si="1"/>
        <v>7</v>
      </c>
      <c r="Q4" s="111"/>
      <c r="R4" s="112" t="s">
        <v>52</v>
      </c>
      <c r="S4" s="112" t="s">
        <v>231</v>
      </c>
      <c r="T4" s="113" t="s">
        <v>63</v>
      </c>
      <c r="U4" s="114"/>
    </row>
    <row r="5" spans="1:21" s="104" customFormat="1" ht="14" x14ac:dyDescent="0.15">
      <c r="A5" s="109" t="s">
        <v>32</v>
      </c>
      <c r="B5" s="109"/>
      <c r="C5" s="109"/>
      <c r="D5" s="109" t="s">
        <v>12</v>
      </c>
      <c r="E5" s="109"/>
      <c r="F5" s="110">
        <v>44193</v>
      </c>
      <c r="G5" s="110">
        <v>44195</v>
      </c>
      <c r="H5" s="115">
        <v>44206</v>
      </c>
      <c r="I5" s="110"/>
      <c r="J5" s="138">
        <f t="shared" ca="1" si="0"/>
        <v>45103</v>
      </c>
      <c r="K5" s="110" t="s">
        <v>225</v>
      </c>
      <c r="L5" s="111">
        <v>0</v>
      </c>
      <c r="M5" s="111">
        <v>500000</v>
      </c>
      <c r="N5" s="111">
        <v>500000</v>
      </c>
      <c r="O5" s="140" cm="1">
        <f t="array" aca="1" ref="O5" ca="1">_xlfn.IFS(K5="Pending",DAYS360(F5,J5),K5="Issued",DAYS360(F5,H5),K5="Withdrawn",DAYS360(F5,I5))</f>
        <v>12</v>
      </c>
      <c r="P5" s="140">
        <f t="shared" si="1"/>
        <v>12</v>
      </c>
      <c r="Q5" s="111"/>
      <c r="R5" s="112" t="s">
        <v>52</v>
      </c>
      <c r="S5" s="112" t="s">
        <v>232</v>
      </c>
      <c r="T5" s="113" t="s">
        <v>63</v>
      </c>
      <c r="U5" s="114"/>
    </row>
    <row r="6" spans="1:21" s="104" customFormat="1" ht="14" x14ac:dyDescent="0.15">
      <c r="A6" s="109" t="s">
        <v>33</v>
      </c>
      <c r="B6" s="109"/>
      <c r="C6" s="109"/>
      <c r="D6" s="109" t="s">
        <v>23</v>
      </c>
      <c r="E6" s="109"/>
      <c r="F6" s="110">
        <v>44201</v>
      </c>
      <c r="G6" s="110">
        <v>44203</v>
      </c>
      <c r="H6" s="115">
        <v>44275</v>
      </c>
      <c r="I6" s="110"/>
      <c r="J6" s="138">
        <f t="shared" ca="1" si="0"/>
        <v>45103</v>
      </c>
      <c r="K6" s="110" t="s">
        <v>225</v>
      </c>
      <c r="L6" s="111">
        <v>0</v>
      </c>
      <c r="M6" s="111">
        <v>110000</v>
      </c>
      <c r="N6" s="111">
        <v>100000</v>
      </c>
      <c r="O6" s="140" cm="1">
        <f t="array" aca="1" ref="O6" ca="1">_xlfn.IFS(K6="Pending",DAYS360(F6,J6),K6="Issued",DAYS360(F6,H6),K6="Withdrawn",DAYS360(F6,I6))</f>
        <v>75</v>
      </c>
      <c r="P6" s="140">
        <f t="shared" si="1"/>
        <v>75</v>
      </c>
      <c r="Q6" s="111"/>
      <c r="R6" s="112" t="s">
        <v>53</v>
      </c>
      <c r="S6" s="112" t="s">
        <v>38</v>
      </c>
      <c r="T6" s="113" t="s">
        <v>26</v>
      </c>
      <c r="U6" s="114"/>
    </row>
    <row r="7" spans="1:21" s="104" customFormat="1" ht="14" x14ac:dyDescent="0.15">
      <c r="A7" s="109" t="s">
        <v>32</v>
      </c>
      <c r="B7" s="109"/>
      <c r="C7" s="109"/>
      <c r="D7" s="109" t="s">
        <v>23</v>
      </c>
      <c r="E7" s="109"/>
      <c r="F7" s="110">
        <v>44206</v>
      </c>
      <c r="G7" s="110">
        <v>44206</v>
      </c>
      <c r="H7" s="115">
        <v>44232</v>
      </c>
      <c r="I7" s="110"/>
      <c r="J7" s="138">
        <f t="shared" ca="1" si="0"/>
        <v>45103</v>
      </c>
      <c r="K7" s="110" t="s">
        <v>225</v>
      </c>
      <c r="L7" s="111">
        <v>35000</v>
      </c>
      <c r="M7" s="111">
        <v>510000</v>
      </c>
      <c r="N7" s="111">
        <v>535000</v>
      </c>
      <c r="O7" s="140" cm="1">
        <f t="array" aca="1" ref="O7" ca="1">_xlfn.IFS(K7="Pending",DAYS360(F7,J7),K7="Issued",DAYS360(F7,H7),K7="Withdrawn",DAYS360(F7,I7))</f>
        <v>25</v>
      </c>
      <c r="P7" s="140">
        <f t="shared" si="1"/>
        <v>25</v>
      </c>
      <c r="Q7" s="111"/>
      <c r="R7" s="112" t="s">
        <v>53</v>
      </c>
      <c r="S7" s="112" t="s">
        <v>40</v>
      </c>
      <c r="T7" s="113" t="s">
        <v>26</v>
      </c>
      <c r="U7" s="114"/>
    </row>
    <row r="8" spans="1:21" s="104" customFormat="1" ht="14" x14ac:dyDescent="0.15">
      <c r="A8" s="109" t="s">
        <v>31</v>
      </c>
      <c r="B8" s="109"/>
      <c r="C8" s="109"/>
      <c r="D8" s="109" t="s">
        <v>23</v>
      </c>
      <c r="E8" s="109"/>
      <c r="F8" s="110">
        <v>44211</v>
      </c>
      <c r="G8" s="110">
        <v>44211</v>
      </c>
      <c r="H8" s="115">
        <v>44214</v>
      </c>
      <c r="I8" s="110"/>
      <c r="J8" s="138">
        <f t="shared" ca="1" si="0"/>
        <v>45103</v>
      </c>
      <c r="K8" s="110" t="s">
        <v>225</v>
      </c>
      <c r="L8" s="111">
        <v>250000</v>
      </c>
      <c r="M8" s="111">
        <v>0</v>
      </c>
      <c r="N8" s="111">
        <v>250000</v>
      </c>
      <c r="O8" s="140" cm="1">
        <f t="array" aca="1" ref="O8" ca="1">_xlfn.IFS(K8="Pending",DAYS360(F8,J8),K8="Issued",DAYS360(F8,H8),K8="Withdrawn",DAYS360(F8,I8))</f>
        <v>3</v>
      </c>
      <c r="P8" s="140">
        <f t="shared" si="1"/>
        <v>3</v>
      </c>
      <c r="Q8" s="111"/>
      <c r="R8" s="112" t="s">
        <v>54</v>
      </c>
      <c r="S8" s="112" t="s">
        <v>50</v>
      </c>
      <c r="T8" s="113" t="s">
        <v>26</v>
      </c>
      <c r="U8" s="114"/>
    </row>
    <row r="9" spans="1:21" s="104" customFormat="1" ht="14" x14ac:dyDescent="0.15">
      <c r="A9" s="109" t="s">
        <v>32</v>
      </c>
      <c r="B9" s="109"/>
      <c r="C9" s="109"/>
      <c r="D9" s="109" t="s">
        <v>23</v>
      </c>
      <c r="E9" s="109"/>
      <c r="F9" s="110">
        <v>44211</v>
      </c>
      <c r="G9" s="110">
        <v>44211</v>
      </c>
      <c r="H9" s="115">
        <v>44228</v>
      </c>
      <c r="I9" s="110"/>
      <c r="J9" s="138">
        <f t="shared" ca="1" si="0"/>
        <v>45103</v>
      </c>
      <c r="K9" s="110" t="s">
        <v>225</v>
      </c>
      <c r="L9" s="111">
        <v>0</v>
      </c>
      <c r="M9" s="111">
        <v>400000</v>
      </c>
      <c r="N9" s="111">
        <v>375000</v>
      </c>
      <c r="O9" s="140" cm="1">
        <f t="array" aca="1" ref="O9" ca="1">_xlfn.IFS(K9="Pending",DAYS360(F9,J9),K9="Issued",DAYS360(F9,H9),K9="Withdrawn",DAYS360(F9,I9))</f>
        <v>16</v>
      </c>
      <c r="P9" s="140">
        <f t="shared" si="1"/>
        <v>16</v>
      </c>
      <c r="Q9" s="111"/>
      <c r="R9" s="112" t="s">
        <v>53</v>
      </c>
      <c r="S9" s="112" t="s">
        <v>229</v>
      </c>
      <c r="T9" s="113" t="s">
        <v>26</v>
      </c>
      <c r="U9" s="114"/>
    </row>
    <row r="10" spans="1:21" s="104" customFormat="1" ht="14" x14ac:dyDescent="0.15">
      <c r="A10" s="109" t="s">
        <v>32</v>
      </c>
      <c r="B10" s="109"/>
      <c r="C10" s="109"/>
      <c r="D10" s="109" t="s">
        <v>12</v>
      </c>
      <c r="E10" s="109"/>
      <c r="F10" s="110">
        <v>44224</v>
      </c>
      <c r="G10" s="110">
        <v>44226</v>
      </c>
      <c r="H10" s="115">
        <v>44247</v>
      </c>
      <c r="I10" s="110"/>
      <c r="J10" s="138">
        <f t="shared" ca="1" si="0"/>
        <v>45103</v>
      </c>
      <c r="K10" s="110" t="s">
        <v>225</v>
      </c>
      <c r="L10" s="111">
        <v>0</v>
      </c>
      <c r="M10" s="111">
        <v>1600000</v>
      </c>
      <c r="N10" s="111">
        <v>1500000</v>
      </c>
      <c r="O10" s="140" cm="1">
        <f t="array" aca="1" ref="O10" ca="1">_xlfn.IFS(K10="Pending",DAYS360(F10,J10),K10="Issued",DAYS360(F10,H10),K10="Withdrawn",DAYS360(F10,I10))</f>
        <v>22</v>
      </c>
      <c r="P10" s="140">
        <f t="shared" si="1"/>
        <v>22</v>
      </c>
      <c r="Q10" s="111"/>
      <c r="R10" s="112" t="s">
        <v>52</v>
      </c>
      <c r="S10" s="112" t="s">
        <v>49</v>
      </c>
      <c r="T10" s="113" t="s">
        <v>26</v>
      </c>
      <c r="U10" s="114"/>
    </row>
    <row r="11" spans="1:21" s="104" customFormat="1" ht="14" x14ac:dyDescent="0.15">
      <c r="A11" s="109" t="s">
        <v>33</v>
      </c>
      <c r="B11" s="109"/>
      <c r="C11" s="109"/>
      <c r="D11" s="109" t="s">
        <v>24</v>
      </c>
      <c r="E11" s="109"/>
      <c r="F11" s="110">
        <v>44237</v>
      </c>
      <c r="G11" s="110">
        <v>44242</v>
      </c>
      <c r="H11" s="115">
        <v>44336</v>
      </c>
      <c r="I11" s="110"/>
      <c r="J11" s="138">
        <f t="shared" ca="1" si="0"/>
        <v>45103</v>
      </c>
      <c r="K11" s="110" t="s">
        <v>225</v>
      </c>
      <c r="L11" s="111">
        <v>0</v>
      </c>
      <c r="M11" s="111">
        <v>25000</v>
      </c>
      <c r="N11" s="111">
        <v>25000</v>
      </c>
      <c r="O11" s="140" cm="1">
        <f t="array" aca="1" ref="O11" ca="1">_xlfn.IFS(K11="Pending",DAYS360(F11,J11),K11="Issued",DAYS360(F11,H11),K11="Withdrawn",DAYS360(F11,I11))</f>
        <v>100</v>
      </c>
      <c r="P11" s="140">
        <f t="shared" si="1"/>
        <v>100</v>
      </c>
      <c r="Q11" s="111"/>
      <c r="R11" s="112" t="s">
        <v>51</v>
      </c>
      <c r="S11" s="112" t="s">
        <v>44</v>
      </c>
      <c r="T11" s="113" t="s">
        <v>26</v>
      </c>
      <c r="U11" s="114"/>
    </row>
    <row r="12" spans="1:21" s="104" customFormat="1" ht="14" x14ac:dyDescent="0.15">
      <c r="A12" s="116" t="s">
        <v>31</v>
      </c>
      <c r="B12" s="109"/>
      <c r="C12" s="109"/>
      <c r="D12" s="109" t="s">
        <v>23</v>
      </c>
      <c r="E12" s="109"/>
      <c r="F12" s="110">
        <v>44270</v>
      </c>
      <c r="G12" s="110">
        <v>44271</v>
      </c>
      <c r="H12" s="115">
        <v>44336</v>
      </c>
      <c r="I12" s="110"/>
      <c r="J12" s="138">
        <f t="shared" ca="1" si="0"/>
        <v>45103</v>
      </c>
      <c r="K12" s="110" t="s">
        <v>225</v>
      </c>
      <c r="L12" s="111">
        <v>0</v>
      </c>
      <c r="M12" s="111">
        <v>45000</v>
      </c>
      <c r="N12" s="111">
        <v>35000</v>
      </c>
      <c r="O12" s="140" cm="1">
        <f t="array" aca="1" ref="O12" ca="1">_xlfn.IFS(K12="Pending",DAYS360(F12,J12),K12="Issued",DAYS360(F12,H12),K12="Withdrawn",DAYS360(F12,I12))</f>
        <v>65</v>
      </c>
      <c r="P12" s="140">
        <f t="shared" si="1"/>
        <v>65</v>
      </c>
      <c r="Q12" s="111"/>
      <c r="R12" s="112" t="s">
        <v>52</v>
      </c>
      <c r="S12" s="112" t="s">
        <v>46</v>
      </c>
      <c r="T12" s="113" t="s">
        <v>26</v>
      </c>
      <c r="U12" s="114"/>
    </row>
    <row r="13" spans="1:21" s="104" customFormat="1" ht="14" x14ac:dyDescent="0.15">
      <c r="A13" s="116" t="s">
        <v>17</v>
      </c>
      <c r="B13" s="109"/>
      <c r="C13" s="109"/>
      <c r="D13" s="109" t="s">
        <v>23</v>
      </c>
      <c r="E13" s="109"/>
      <c r="F13" s="110">
        <v>44291</v>
      </c>
      <c r="G13" s="110">
        <v>44293</v>
      </c>
      <c r="H13" s="115">
        <v>44324</v>
      </c>
      <c r="I13" s="110"/>
      <c r="J13" s="138">
        <f t="shared" ca="1" si="0"/>
        <v>45103</v>
      </c>
      <c r="K13" s="110" t="s">
        <v>225</v>
      </c>
      <c r="L13" s="111">
        <v>300000</v>
      </c>
      <c r="M13" s="111">
        <v>200000</v>
      </c>
      <c r="N13" s="111">
        <v>500000</v>
      </c>
      <c r="O13" s="140" cm="1">
        <f t="array" aca="1" ref="O13" ca="1">_xlfn.IFS(K13="Pending",DAYS360(F13,J13),K13="Issued",DAYS360(F13,H13),K13="Withdrawn",DAYS360(F13,I13))</f>
        <v>33</v>
      </c>
      <c r="P13" s="140">
        <f t="shared" si="1"/>
        <v>33</v>
      </c>
      <c r="Q13" s="111"/>
      <c r="R13" s="112" t="s">
        <v>52</v>
      </c>
      <c r="S13" s="112" t="s">
        <v>50</v>
      </c>
      <c r="T13" s="113" t="s">
        <v>27</v>
      </c>
      <c r="U13" s="114"/>
    </row>
    <row r="14" spans="1:21" s="104" customFormat="1" ht="14" x14ac:dyDescent="0.15">
      <c r="A14" s="116" t="s">
        <v>31</v>
      </c>
      <c r="B14" s="109"/>
      <c r="C14" s="109"/>
      <c r="D14" s="109" t="s">
        <v>23</v>
      </c>
      <c r="E14" s="109"/>
      <c r="F14" s="110">
        <v>44319</v>
      </c>
      <c r="G14" s="110">
        <v>44321</v>
      </c>
      <c r="H14" s="115">
        <v>44362</v>
      </c>
      <c r="I14" s="110"/>
      <c r="J14" s="138">
        <f t="shared" ca="1" si="0"/>
        <v>45103</v>
      </c>
      <c r="K14" s="110" t="s">
        <v>225</v>
      </c>
      <c r="L14" s="111">
        <v>0</v>
      </c>
      <c r="M14" s="111">
        <v>120000</v>
      </c>
      <c r="N14" s="111">
        <v>125000</v>
      </c>
      <c r="O14" s="140" cm="1">
        <f t="array" aca="1" ref="O14" ca="1">_xlfn.IFS(K14="Pending",DAYS360(F14,J14),K14="Issued",DAYS360(F14,H14),K14="Withdrawn",DAYS360(F14,I14))</f>
        <v>42</v>
      </c>
      <c r="P14" s="140">
        <f t="shared" si="1"/>
        <v>42</v>
      </c>
      <c r="Q14" s="111"/>
      <c r="R14" s="112" t="s">
        <v>54</v>
      </c>
      <c r="S14" s="112" t="s">
        <v>37</v>
      </c>
      <c r="T14" s="113" t="s">
        <v>27</v>
      </c>
      <c r="U14" s="114"/>
    </row>
    <row r="15" spans="1:21" s="104" customFormat="1" ht="14" x14ac:dyDescent="0.15">
      <c r="A15" s="116" t="s">
        <v>33</v>
      </c>
      <c r="B15" s="109"/>
      <c r="C15" s="109"/>
      <c r="D15" s="109" t="s">
        <v>24</v>
      </c>
      <c r="E15" s="109"/>
      <c r="F15" s="110">
        <v>44332</v>
      </c>
      <c r="G15" s="110">
        <v>44336</v>
      </c>
      <c r="H15" s="115">
        <v>44418</v>
      </c>
      <c r="I15" s="110"/>
      <c r="J15" s="138">
        <f t="shared" ca="1" si="0"/>
        <v>45103</v>
      </c>
      <c r="K15" s="110" t="s">
        <v>225</v>
      </c>
      <c r="L15" s="111">
        <v>0</v>
      </c>
      <c r="M15" s="111">
        <v>20000</v>
      </c>
      <c r="N15" s="111">
        <v>20000</v>
      </c>
      <c r="O15" s="140" cm="1">
        <f t="array" aca="1" ref="O15" ca="1">_xlfn.IFS(K15="Pending",DAYS360(F15,J15),K15="Issued",DAYS360(F15,H15),K15="Withdrawn",DAYS360(F15,I15))</f>
        <v>84</v>
      </c>
      <c r="P15" s="140">
        <f t="shared" si="1"/>
        <v>84</v>
      </c>
      <c r="Q15" s="111"/>
      <c r="R15" s="112" t="s">
        <v>52</v>
      </c>
      <c r="S15" s="112" t="s">
        <v>232</v>
      </c>
      <c r="T15" s="113" t="s">
        <v>27</v>
      </c>
      <c r="U15" s="114"/>
    </row>
    <row r="16" spans="1:21" s="104" customFormat="1" ht="14" x14ac:dyDescent="0.15">
      <c r="A16" s="116" t="s">
        <v>32</v>
      </c>
      <c r="B16" s="109"/>
      <c r="C16" s="109"/>
      <c r="D16" s="109" t="s">
        <v>23</v>
      </c>
      <c r="E16" s="109"/>
      <c r="F16" s="110">
        <v>44334</v>
      </c>
      <c r="G16" s="110">
        <v>44334</v>
      </c>
      <c r="H16" s="115">
        <v>44348</v>
      </c>
      <c r="I16" s="110"/>
      <c r="J16" s="138">
        <f t="shared" ca="1" si="0"/>
        <v>45103</v>
      </c>
      <c r="K16" s="110" t="s">
        <v>225</v>
      </c>
      <c r="L16" s="111">
        <v>150000</v>
      </c>
      <c r="M16" s="111">
        <v>135000</v>
      </c>
      <c r="N16" s="111">
        <v>300000</v>
      </c>
      <c r="O16" s="140" cm="1">
        <f t="array" aca="1" ref="O16" ca="1">_xlfn.IFS(K16="Pending",DAYS360(F16,J16),K16="Issued",DAYS360(F16,H16),K16="Withdrawn",DAYS360(F16,I16))</f>
        <v>13</v>
      </c>
      <c r="P16" s="140">
        <f t="shared" si="1"/>
        <v>13</v>
      </c>
      <c r="Q16" s="111"/>
      <c r="R16" s="112" t="s">
        <v>51</v>
      </c>
      <c r="S16" s="112" t="s">
        <v>48</v>
      </c>
      <c r="T16" s="113" t="s">
        <v>27</v>
      </c>
      <c r="U16" s="114"/>
    </row>
    <row r="17" spans="1:21" s="104" customFormat="1" ht="14" x14ac:dyDescent="0.15">
      <c r="A17" s="116" t="s">
        <v>32</v>
      </c>
      <c r="B17" s="109"/>
      <c r="C17" s="109"/>
      <c r="D17" s="109" t="s">
        <v>56</v>
      </c>
      <c r="E17" s="109"/>
      <c r="F17" s="110">
        <v>44334</v>
      </c>
      <c r="G17" s="110">
        <v>44334</v>
      </c>
      <c r="H17" s="115">
        <v>44339</v>
      </c>
      <c r="I17" s="110"/>
      <c r="J17" s="138">
        <f t="shared" ca="1" si="0"/>
        <v>45103</v>
      </c>
      <c r="K17" s="110" t="s">
        <v>225</v>
      </c>
      <c r="L17" s="111">
        <v>500</v>
      </c>
      <c r="M17" s="111">
        <v>0</v>
      </c>
      <c r="N17" s="111">
        <v>500</v>
      </c>
      <c r="O17" s="140" cm="1">
        <f t="array" aca="1" ref="O17" ca="1">_xlfn.IFS(K17="Pending",DAYS360(F17,J17),K17="Issued",DAYS360(F17,H17),K17="Withdrawn",DAYS360(F17,I17))</f>
        <v>5</v>
      </c>
      <c r="P17" s="140">
        <f t="shared" si="1"/>
        <v>5</v>
      </c>
      <c r="Q17" s="111"/>
      <c r="R17" s="112" t="s">
        <v>51</v>
      </c>
      <c r="S17" s="112" t="s">
        <v>230</v>
      </c>
      <c r="T17" s="113" t="s">
        <v>27</v>
      </c>
      <c r="U17" s="114"/>
    </row>
    <row r="18" spans="1:21" s="104" customFormat="1" ht="14" x14ac:dyDescent="0.15">
      <c r="A18" s="116" t="s">
        <v>31</v>
      </c>
      <c r="B18" s="109"/>
      <c r="C18" s="109"/>
      <c r="D18" s="109" t="s">
        <v>24</v>
      </c>
      <c r="E18" s="109"/>
      <c r="F18" s="110">
        <v>44336</v>
      </c>
      <c r="G18" s="110">
        <v>44339</v>
      </c>
      <c r="H18" s="115">
        <v>44454</v>
      </c>
      <c r="I18" s="110"/>
      <c r="J18" s="138">
        <f t="shared" ca="1" si="0"/>
        <v>45103</v>
      </c>
      <c r="K18" s="110" t="s">
        <v>225</v>
      </c>
      <c r="L18" s="111">
        <v>0</v>
      </c>
      <c r="M18" s="111">
        <v>15000</v>
      </c>
      <c r="N18" s="111">
        <v>15125</v>
      </c>
      <c r="O18" s="140" cm="1">
        <f t="array" aca="1" ref="O18" ca="1">_xlfn.IFS(K18="Pending",DAYS360(F18,J18),K18="Issued",DAYS360(F18,H18),K18="Withdrawn",DAYS360(F18,I18))</f>
        <v>115</v>
      </c>
      <c r="P18" s="140">
        <f t="shared" si="1"/>
        <v>115</v>
      </c>
      <c r="Q18" s="111"/>
      <c r="R18" s="112" t="s">
        <v>53</v>
      </c>
      <c r="S18" s="112" t="s">
        <v>45</v>
      </c>
      <c r="T18" s="112" t="s">
        <v>27</v>
      </c>
      <c r="U18" s="114"/>
    </row>
    <row r="19" spans="1:21" s="104" customFormat="1" ht="14" x14ac:dyDescent="0.15">
      <c r="A19" s="116" t="s">
        <v>32</v>
      </c>
      <c r="B19" s="109"/>
      <c r="C19" s="109"/>
      <c r="D19" s="109" t="s">
        <v>23</v>
      </c>
      <c r="E19" s="109"/>
      <c r="F19" s="110">
        <v>44378</v>
      </c>
      <c r="G19" s="110">
        <v>44378</v>
      </c>
      <c r="H19" s="115">
        <v>44405</v>
      </c>
      <c r="I19" s="110"/>
      <c r="J19" s="138">
        <f t="shared" ca="1" si="0"/>
        <v>45103</v>
      </c>
      <c r="K19" s="110" t="s">
        <v>225</v>
      </c>
      <c r="L19" s="111">
        <v>0</v>
      </c>
      <c r="M19" s="111">
        <v>60000</v>
      </c>
      <c r="N19" s="111">
        <v>56000</v>
      </c>
      <c r="O19" s="140" cm="1">
        <f t="array" aca="1" ref="O19" ca="1">_xlfn.IFS(K19="Pending",DAYS360(F19,J19),K19="Issued",DAYS360(F19,H19),K19="Withdrawn",DAYS360(F19,I19))</f>
        <v>27</v>
      </c>
      <c r="P19" s="140">
        <f t="shared" si="1"/>
        <v>27</v>
      </c>
      <c r="Q19" s="111"/>
      <c r="R19" s="112" t="s">
        <v>54</v>
      </c>
      <c r="S19" s="112" t="s">
        <v>234</v>
      </c>
      <c r="T19" s="113" t="s">
        <v>28</v>
      </c>
      <c r="U19" s="114"/>
    </row>
    <row r="20" spans="1:21" s="104" customFormat="1" ht="14" x14ac:dyDescent="0.15">
      <c r="A20" s="116" t="s">
        <v>17</v>
      </c>
      <c r="B20" s="109"/>
      <c r="C20" s="109"/>
      <c r="D20" s="109" t="s">
        <v>12</v>
      </c>
      <c r="E20" s="109"/>
      <c r="F20" s="110">
        <v>44382</v>
      </c>
      <c r="G20" s="110">
        <v>44382</v>
      </c>
      <c r="H20" s="115">
        <v>44397</v>
      </c>
      <c r="I20" s="110"/>
      <c r="J20" s="138">
        <f t="shared" ca="1" si="0"/>
        <v>45103</v>
      </c>
      <c r="K20" s="110" t="s">
        <v>225</v>
      </c>
      <c r="L20" s="111">
        <v>0</v>
      </c>
      <c r="M20" s="111">
        <v>600000</v>
      </c>
      <c r="N20" s="111">
        <v>600000</v>
      </c>
      <c r="O20" s="140" cm="1">
        <f t="array" aca="1" ref="O20" ca="1">_xlfn.IFS(K20="Pending",DAYS360(F20,J20),K20="Issued",DAYS360(F20,H20),K20="Withdrawn",DAYS360(F20,I20))</f>
        <v>15</v>
      </c>
      <c r="P20" s="140">
        <f t="shared" si="1"/>
        <v>15</v>
      </c>
      <c r="Q20" s="111"/>
      <c r="R20" s="112" t="s">
        <v>53</v>
      </c>
      <c r="S20" s="112" t="s">
        <v>40</v>
      </c>
      <c r="T20" s="113" t="s">
        <v>28</v>
      </c>
      <c r="U20" s="114"/>
    </row>
    <row r="21" spans="1:21" s="104" customFormat="1" ht="14" x14ac:dyDescent="0.15">
      <c r="A21" s="116" t="s">
        <v>17</v>
      </c>
      <c r="B21" s="109"/>
      <c r="C21" s="109"/>
      <c r="D21" s="109" t="s">
        <v>12</v>
      </c>
      <c r="E21" s="109"/>
      <c r="F21" s="110">
        <v>44398</v>
      </c>
      <c r="G21" s="110">
        <v>44398</v>
      </c>
      <c r="H21" s="115">
        <v>44402</v>
      </c>
      <c r="I21" s="110"/>
      <c r="J21" s="138">
        <f t="shared" ca="1" si="0"/>
        <v>45103</v>
      </c>
      <c r="K21" s="110" t="s">
        <v>225</v>
      </c>
      <c r="L21" s="111">
        <v>0</v>
      </c>
      <c r="M21" s="111">
        <v>75000</v>
      </c>
      <c r="N21" s="111">
        <v>75000</v>
      </c>
      <c r="O21" s="140" cm="1">
        <f t="array" aca="1" ref="O21" ca="1">_xlfn.IFS(K21="Pending",DAYS360(F21,J21),K21="Issued",DAYS360(F21,H21),K21="Withdrawn",DAYS360(F21,I21))</f>
        <v>4</v>
      </c>
      <c r="P21" s="140">
        <f t="shared" si="1"/>
        <v>4</v>
      </c>
      <c r="Q21" s="111"/>
      <c r="R21" s="112" t="s">
        <v>53</v>
      </c>
      <c r="S21" s="112" t="s">
        <v>42</v>
      </c>
      <c r="T21" s="113" t="s">
        <v>28</v>
      </c>
      <c r="U21" s="114"/>
    </row>
    <row r="22" spans="1:21" s="104" customFormat="1" ht="14" x14ac:dyDescent="0.15">
      <c r="A22" s="116" t="s">
        <v>31</v>
      </c>
      <c r="B22" s="109"/>
      <c r="C22" s="109"/>
      <c r="D22" s="109" t="s">
        <v>56</v>
      </c>
      <c r="E22" s="109"/>
      <c r="F22" s="110">
        <v>44440</v>
      </c>
      <c r="G22" s="110">
        <v>44440</v>
      </c>
      <c r="H22" s="115">
        <v>44474</v>
      </c>
      <c r="I22" s="110"/>
      <c r="J22" s="138">
        <f t="shared" ca="1" si="0"/>
        <v>45103</v>
      </c>
      <c r="K22" s="110" t="s">
        <v>225</v>
      </c>
      <c r="L22" s="111">
        <v>500</v>
      </c>
      <c r="M22" s="111">
        <v>0</v>
      </c>
      <c r="N22" s="111">
        <v>505.25</v>
      </c>
      <c r="O22" s="140" cm="1">
        <f t="array" aca="1" ref="O22" ca="1">_xlfn.IFS(K22="Pending",DAYS360(F22,J22),K22="Issued",DAYS360(F22,H22),K22="Withdrawn",DAYS360(F22,I22))</f>
        <v>34</v>
      </c>
      <c r="P22" s="140">
        <f t="shared" si="1"/>
        <v>34</v>
      </c>
      <c r="Q22" s="111"/>
      <c r="R22" s="112" t="s">
        <v>54</v>
      </c>
      <c r="S22" s="112" t="s">
        <v>37</v>
      </c>
      <c r="T22" s="112" t="s">
        <v>28</v>
      </c>
      <c r="U22" s="114"/>
    </row>
    <row r="23" spans="1:21" s="104" customFormat="1" ht="14" x14ac:dyDescent="0.15">
      <c r="A23" s="116" t="s">
        <v>32</v>
      </c>
      <c r="B23" s="109"/>
      <c r="C23" s="109"/>
      <c r="D23" s="109" t="s">
        <v>24</v>
      </c>
      <c r="E23" s="109"/>
      <c r="F23" s="110">
        <v>44449</v>
      </c>
      <c r="G23" s="110">
        <v>44449</v>
      </c>
      <c r="H23" s="115">
        <v>44498</v>
      </c>
      <c r="I23" s="110"/>
      <c r="J23" s="138">
        <f t="shared" ca="1" si="0"/>
        <v>45103</v>
      </c>
      <c r="K23" s="110" t="s">
        <v>225</v>
      </c>
      <c r="L23" s="111">
        <v>0</v>
      </c>
      <c r="M23" s="111">
        <v>30000</v>
      </c>
      <c r="N23" s="111">
        <v>30000</v>
      </c>
      <c r="O23" s="140" cm="1">
        <f t="array" aca="1" ref="O23" ca="1">_xlfn.IFS(K23="Pending",DAYS360(F23,J23),K23="Issued",DAYS360(F23,H23),K23="Withdrawn",DAYS360(F23,I23))</f>
        <v>49</v>
      </c>
      <c r="P23" s="140">
        <f t="shared" si="1"/>
        <v>49</v>
      </c>
      <c r="Q23" s="111"/>
      <c r="R23" s="112" t="s">
        <v>51</v>
      </c>
      <c r="S23" s="112" t="s">
        <v>233</v>
      </c>
      <c r="T23" s="113" t="s">
        <v>28</v>
      </c>
      <c r="U23" s="114"/>
    </row>
    <row r="24" spans="1:21" s="104" customFormat="1" ht="14" x14ac:dyDescent="0.15">
      <c r="A24" s="116" t="s">
        <v>31</v>
      </c>
      <c r="B24" s="109"/>
      <c r="C24" s="109"/>
      <c r="D24" s="109" t="s">
        <v>23</v>
      </c>
      <c r="E24" s="109"/>
      <c r="F24" s="110">
        <v>44454</v>
      </c>
      <c r="G24" s="110">
        <v>44454</v>
      </c>
      <c r="H24" s="115">
        <v>44456</v>
      </c>
      <c r="I24" s="110"/>
      <c r="J24" s="138">
        <f t="shared" ca="1" si="0"/>
        <v>45103</v>
      </c>
      <c r="K24" s="110" t="s">
        <v>225</v>
      </c>
      <c r="L24" s="111">
        <v>100000</v>
      </c>
      <c r="M24" s="111">
        <v>0</v>
      </c>
      <c r="N24" s="111">
        <v>100000</v>
      </c>
      <c r="O24" s="140" cm="1">
        <f t="array" aca="1" ref="O24" ca="1">_xlfn.IFS(K24="Pending",DAYS360(F24,J24),K24="Issued",DAYS360(F24,H24),K24="Withdrawn",DAYS360(F24,I24))</f>
        <v>2</v>
      </c>
      <c r="P24" s="140">
        <f t="shared" si="1"/>
        <v>2</v>
      </c>
      <c r="Q24" s="111"/>
      <c r="R24" s="112" t="s">
        <v>52</v>
      </c>
      <c r="S24" s="112" t="s">
        <v>38</v>
      </c>
      <c r="T24" s="112" t="s">
        <v>28</v>
      </c>
      <c r="U24" s="114"/>
    </row>
    <row r="25" spans="1:21" s="104" customFormat="1" ht="14" x14ac:dyDescent="0.15">
      <c r="A25" s="116" t="s">
        <v>32</v>
      </c>
      <c r="B25" s="109"/>
      <c r="C25" s="109"/>
      <c r="D25" s="109" t="s">
        <v>23</v>
      </c>
      <c r="E25" s="109"/>
      <c r="F25" s="110">
        <v>44467</v>
      </c>
      <c r="G25" s="110">
        <v>44470</v>
      </c>
      <c r="H25" s="115">
        <v>44503</v>
      </c>
      <c r="I25" s="110"/>
      <c r="J25" s="138">
        <f t="shared" ca="1" si="0"/>
        <v>45103</v>
      </c>
      <c r="K25" s="110" t="s">
        <v>225</v>
      </c>
      <c r="L25" s="111">
        <v>0</v>
      </c>
      <c r="M25" s="111">
        <v>500000</v>
      </c>
      <c r="N25" s="111">
        <v>515000</v>
      </c>
      <c r="O25" s="140" cm="1">
        <f t="array" aca="1" ref="O25" ca="1">_xlfn.IFS(K25="Pending",DAYS360(F25,J25),K25="Issued",DAYS360(F25,H25),K25="Withdrawn",DAYS360(F25,I25))</f>
        <v>35</v>
      </c>
      <c r="P25" s="140">
        <f t="shared" si="1"/>
        <v>35</v>
      </c>
      <c r="Q25" s="111"/>
      <c r="R25" s="112" t="s">
        <v>52</v>
      </c>
      <c r="S25" s="112" t="s">
        <v>44</v>
      </c>
      <c r="T25" s="112" t="s">
        <v>28</v>
      </c>
      <c r="U25" s="114"/>
    </row>
    <row r="26" spans="1:21" s="104" customFormat="1" ht="14" x14ac:dyDescent="0.15">
      <c r="A26" s="116" t="s">
        <v>17</v>
      </c>
      <c r="B26" s="109"/>
      <c r="C26" s="109"/>
      <c r="D26" s="109" t="s">
        <v>23</v>
      </c>
      <c r="E26" s="109"/>
      <c r="F26" s="110">
        <v>44474</v>
      </c>
      <c r="G26" s="110">
        <v>44474</v>
      </c>
      <c r="H26" s="115">
        <v>44494</v>
      </c>
      <c r="I26" s="110"/>
      <c r="J26" s="138">
        <f t="shared" ca="1" si="0"/>
        <v>45103</v>
      </c>
      <c r="K26" s="110" t="s">
        <v>225</v>
      </c>
      <c r="L26" s="111">
        <v>150000</v>
      </c>
      <c r="M26" s="111">
        <v>0</v>
      </c>
      <c r="N26" s="111">
        <v>150000</v>
      </c>
      <c r="O26" s="140" cm="1">
        <f t="array" aca="1" ref="O26" ca="1">_xlfn.IFS(K26="Pending",DAYS360(F26,J26),K26="Issued",DAYS360(F26,H26),K26="Withdrawn",DAYS360(F26,I26))</f>
        <v>20</v>
      </c>
      <c r="P26" s="140">
        <f t="shared" si="1"/>
        <v>20</v>
      </c>
      <c r="Q26" s="111"/>
      <c r="R26" s="112" t="s">
        <v>54</v>
      </c>
      <c r="S26" s="112" t="s">
        <v>47</v>
      </c>
      <c r="T26" s="113" t="s">
        <v>29</v>
      </c>
      <c r="U26" s="114"/>
    </row>
    <row r="27" spans="1:21" s="104" customFormat="1" ht="14" x14ac:dyDescent="0.15">
      <c r="A27" s="116" t="s">
        <v>17</v>
      </c>
      <c r="B27" s="109" t="s">
        <v>18</v>
      </c>
      <c r="C27" s="109" t="s">
        <v>19</v>
      </c>
      <c r="D27" s="109" t="s">
        <v>12</v>
      </c>
      <c r="E27" s="109" t="s">
        <v>13</v>
      </c>
      <c r="F27" s="110">
        <v>44481</v>
      </c>
      <c r="G27" s="110">
        <v>44482</v>
      </c>
      <c r="H27" s="115">
        <v>44489</v>
      </c>
      <c r="I27" s="110"/>
      <c r="J27" s="138">
        <f t="shared" ca="1" si="0"/>
        <v>45103</v>
      </c>
      <c r="K27" s="110" t="s">
        <v>225</v>
      </c>
      <c r="L27" s="111">
        <v>0</v>
      </c>
      <c r="M27" s="111">
        <v>50000</v>
      </c>
      <c r="N27" s="111">
        <v>50000</v>
      </c>
      <c r="O27" s="140" cm="1">
        <f t="array" aca="1" ref="O27" ca="1">_xlfn.IFS(K27="Pending",DAYS360(F27,J27),K27="Issued",DAYS360(F27,H27),K27="Withdrawn",DAYS360(F27,I27))</f>
        <v>8</v>
      </c>
      <c r="P27" s="140">
        <f t="shared" si="1"/>
        <v>8</v>
      </c>
      <c r="Q27" s="111"/>
      <c r="R27" s="112" t="s">
        <v>51</v>
      </c>
      <c r="S27" s="112" t="s">
        <v>229</v>
      </c>
      <c r="T27" s="112" t="s">
        <v>29</v>
      </c>
      <c r="U27" s="114"/>
    </row>
    <row r="28" spans="1:21" s="104" customFormat="1" ht="14" x14ac:dyDescent="0.15">
      <c r="A28" s="116" t="s">
        <v>32</v>
      </c>
      <c r="B28" s="109"/>
      <c r="C28" s="109"/>
      <c r="D28" s="109" t="s">
        <v>23</v>
      </c>
      <c r="E28" s="109"/>
      <c r="F28" s="110">
        <v>44484</v>
      </c>
      <c r="G28" s="110">
        <v>44484</v>
      </c>
      <c r="H28" s="115">
        <v>44487</v>
      </c>
      <c r="I28" s="110"/>
      <c r="J28" s="138">
        <f t="shared" ca="1" si="0"/>
        <v>45103</v>
      </c>
      <c r="K28" s="110" t="s">
        <v>225</v>
      </c>
      <c r="L28" s="111">
        <v>50000</v>
      </c>
      <c r="M28" s="111">
        <v>0</v>
      </c>
      <c r="N28" s="111">
        <v>50000</v>
      </c>
      <c r="O28" s="140" cm="1">
        <f t="array" aca="1" ref="O28" ca="1">_xlfn.IFS(K28="Pending",DAYS360(F28,J28),K28="Issued",DAYS360(F28,H28),K28="Withdrawn",DAYS360(F28,I28))</f>
        <v>3</v>
      </c>
      <c r="P28" s="140">
        <f t="shared" si="1"/>
        <v>3</v>
      </c>
      <c r="Q28" s="111"/>
      <c r="R28" s="112" t="s">
        <v>54</v>
      </c>
      <c r="S28" s="112" t="s">
        <v>106</v>
      </c>
      <c r="T28" s="113" t="s">
        <v>29</v>
      </c>
      <c r="U28" s="114"/>
    </row>
    <row r="29" spans="1:21" s="104" customFormat="1" ht="14" x14ac:dyDescent="0.15">
      <c r="A29" s="116" t="s">
        <v>32</v>
      </c>
      <c r="B29" s="109"/>
      <c r="C29" s="109"/>
      <c r="D29" s="109" t="s">
        <v>12</v>
      </c>
      <c r="E29" s="109"/>
      <c r="F29" s="110">
        <v>44484</v>
      </c>
      <c r="G29" s="110">
        <v>44487</v>
      </c>
      <c r="H29" s="115">
        <v>44494</v>
      </c>
      <c r="I29" s="110"/>
      <c r="J29" s="138">
        <f t="shared" ca="1" si="0"/>
        <v>45103</v>
      </c>
      <c r="K29" s="110" t="s">
        <v>225</v>
      </c>
      <c r="L29" s="111">
        <v>0</v>
      </c>
      <c r="M29" s="111">
        <v>125000</v>
      </c>
      <c r="N29" s="111">
        <v>130000</v>
      </c>
      <c r="O29" s="140" cm="1">
        <f t="array" aca="1" ref="O29" ca="1">_xlfn.IFS(K29="Pending",DAYS360(F29,J29),K29="Issued",DAYS360(F29,H29),K29="Withdrawn",DAYS360(F29,I29))</f>
        <v>10</v>
      </c>
      <c r="P29" s="140">
        <f t="shared" si="1"/>
        <v>10</v>
      </c>
      <c r="Q29" s="111"/>
      <c r="R29" s="112" t="s">
        <v>53</v>
      </c>
      <c r="S29" s="112" t="s">
        <v>231</v>
      </c>
      <c r="T29" s="112" t="s">
        <v>29</v>
      </c>
      <c r="U29" s="114"/>
    </row>
    <row r="30" spans="1:21" s="104" customFormat="1" ht="14" x14ac:dyDescent="0.15">
      <c r="A30" s="116" t="s">
        <v>32</v>
      </c>
      <c r="B30" s="109"/>
      <c r="C30" s="109"/>
      <c r="D30" s="109" t="s">
        <v>23</v>
      </c>
      <c r="E30" s="109"/>
      <c r="F30" s="110">
        <v>44487</v>
      </c>
      <c r="G30" s="110">
        <v>44487</v>
      </c>
      <c r="H30" s="115">
        <v>44489</v>
      </c>
      <c r="I30" s="110"/>
      <c r="J30" s="138">
        <f t="shared" ca="1" si="0"/>
        <v>45103</v>
      </c>
      <c r="K30" s="110" t="s">
        <v>225</v>
      </c>
      <c r="L30" s="111">
        <v>200000</v>
      </c>
      <c r="M30" s="111">
        <v>0</v>
      </c>
      <c r="N30" s="111">
        <v>200000</v>
      </c>
      <c r="O30" s="140" cm="1">
        <f t="array" aca="1" ref="O30" ca="1">_xlfn.IFS(K30="Pending",DAYS360(F30,J30),K30="Issued",DAYS360(F30,H30),K30="Withdrawn",DAYS360(F30,I30))</f>
        <v>2</v>
      </c>
      <c r="P30" s="140">
        <f t="shared" si="1"/>
        <v>2</v>
      </c>
      <c r="Q30" s="111"/>
      <c r="R30" s="112" t="s">
        <v>53</v>
      </c>
      <c r="S30" s="112" t="s">
        <v>41</v>
      </c>
      <c r="T30" s="113" t="s">
        <v>29</v>
      </c>
      <c r="U30" s="114"/>
    </row>
    <row r="31" spans="1:21" s="104" customFormat="1" ht="14" x14ac:dyDescent="0.15">
      <c r="A31" s="116" t="s">
        <v>17</v>
      </c>
      <c r="B31" s="109"/>
      <c r="C31" s="109"/>
      <c r="D31" s="109" t="s">
        <v>12</v>
      </c>
      <c r="E31" s="109"/>
      <c r="F31" s="110">
        <v>44494</v>
      </c>
      <c r="G31" s="110">
        <v>44496</v>
      </c>
      <c r="H31" s="115">
        <v>44505</v>
      </c>
      <c r="I31" s="110"/>
      <c r="J31" s="138">
        <f t="shared" ca="1" si="0"/>
        <v>45103</v>
      </c>
      <c r="K31" s="110" t="s">
        <v>225</v>
      </c>
      <c r="L31" s="111">
        <v>0</v>
      </c>
      <c r="M31" s="111">
        <v>800000</v>
      </c>
      <c r="N31" s="111">
        <v>800000</v>
      </c>
      <c r="O31" s="140" cm="1">
        <f t="array" aca="1" ref="O31" ca="1">_xlfn.IFS(K31="Pending",DAYS360(F31,J31),K31="Issued",DAYS360(F31,H31),K31="Withdrawn",DAYS360(F31,I31))</f>
        <v>10</v>
      </c>
      <c r="P31" s="140">
        <f t="shared" si="1"/>
        <v>10</v>
      </c>
      <c r="Q31" s="111"/>
      <c r="R31" s="112" t="s">
        <v>52</v>
      </c>
      <c r="S31" s="112" t="s">
        <v>234</v>
      </c>
      <c r="T31" s="112" t="s">
        <v>29</v>
      </c>
      <c r="U31" s="114"/>
    </row>
    <row r="32" spans="1:21" s="104" customFormat="1" ht="14" x14ac:dyDescent="0.15">
      <c r="A32" s="116" t="s">
        <v>33</v>
      </c>
      <c r="B32" s="109"/>
      <c r="C32" s="109"/>
      <c r="D32" s="109" t="s">
        <v>24</v>
      </c>
      <c r="E32" s="109"/>
      <c r="F32" s="110">
        <v>44496</v>
      </c>
      <c r="G32" s="110">
        <v>44496</v>
      </c>
      <c r="H32" s="115">
        <v>44508</v>
      </c>
      <c r="I32" s="110"/>
      <c r="J32" s="138">
        <f t="shared" ca="1" si="0"/>
        <v>45103</v>
      </c>
      <c r="K32" s="110" t="s">
        <v>225</v>
      </c>
      <c r="L32" s="111">
        <v>0</v>
      </c>
      <c r="M32" s="111">
        <v>30000</v>
      </c>
      <c r="N32" s="111">
        <v>28000</v>
      </c>
      <c r="O32" s="140" cm="1">
        <f t="array" aca="1" ref="O32" ca="1">_xlfn.IFS(K32="Pending",DAYS360(F32,J32),K32="Issued",DAYS360(F32,H32),K32="Withdrawn",DAYS360(F32,I32))</f>
        <v>11</v>
      </c>
      <c r="P32" s="140">
        <f t="shared" si="1"/>
        <v>11</v>
      </c>
      <c r="Q32" s="111"/>
      <c r="R32" s="112" t="s">
        <v>53</v>
      </c>
      <c r="S32" s="112" t="s">
        <v>49</v>
      </c>
      <c r="T32" s="112" t="s">
        <v>29</v>
      </c>
      <c r="U32" s="114"/>
    </row>
    <row r="33" spans="1:21" s="104" customFormat="1" ht="14" x14ac:dyDescent="0.15">
      <c r="A33" s="116" t="s">
        <v>17</v>
      </c>
      <c r="B33" s="109"/>
      <c r="C33" s="109"/>
      <c r="D33" s="109" t="s">
        <v>23</v>
      </c>
      <c r="E33" s="109"/>
      <c r="F33" s="110">
        <v>44497</v>
      </c>
      <c r="G33" s="110">
        <v>44498</v>
      </c>
      <c r="H33" s="115">
        <v>44502</v>
      </c>
      <c r="I33" s="110"/>
      <c r="J33" s="138">
        <f t="shared" ca="1" si="0"/>
        <v>45103</v>
      </c>
      <c r="K33" s="110" t="s">
        <v>225</v>
      </c>
      <c r="L33" s="111">
        <v>50000</v>
      </c>
      <c r="M33" s="111">
        <v>0</v>
      </c>
      <c r="N33" s="111">
        <v>50000</v>
      </c>
      <c r="O33" s="140" cm="1">
        <f t="array" aca="1" ref="O33" ca="1">_xlfn.IFS(K33="Pending",DAYS360(F33,J33),K33="Issued",DAYS360(F33,H33),K33="Withdrawn",DAYS360(F33,I33))</f>
        <v>4</v>
      </c>
      <c r="P33" s="140">
        <f t="shared" si="1"/>
        <v>4</v>
      </c>
      <c r="Q33" s="111"/>
      <c r="R33" s="112" t="s">
        <v>54</v>
      </c>
      <c r="S33" s="112" t="s">
        <v>230</v>
      </c>
      <c r="T33" s="112" t="s">
        <v>29</v>
      </c>
      <c r="U33" s="114"/>
    </row>
    <row r="34" spans="1:21" s="104" customFormat="1" ht="14" x14ac:dyDescent="0.15">
      <c r="A34" s="116" t="s">
        <v>17</v>
      </c>
      <c r="B34" s="109" t="s">
        <v>18</v>
      </c>
      <c r="C34" s="109" t="s">
        <v>19</v>
      </c>
      <c r="D34" s="109" t="s">
        <v>12</v>
      </c>
      <c r="E34" s="109" t="s">
        <v>13</v>
      </c>
      <c r="F34" s="110">
        <v>44958</v>
      </c>
      <c r="G34" s="110">
        <v>44958</v>
      </c>
      <c r="H34" s="110">
        <v>45017</v>
      </c>
      <c r="I34" s="110"/>
      <c r="J34" s="138">
        <f t="shared" ca="1" si="0"/>
        <v>45103</v>
      </c>
      <c r="K34" s="110" t="s">
        <v>226</v>
      </c>
      <c r="L34" s="111">
        <v>0</v>
      </c>
      <c r="M34" s="111">
        <v>50000</v>
      </c>
      <c r="N34" s="111">
        <v>0</v>
      </c>
      <c r="O34" s="140" cm="1">
        <f t="array" aca="1" ref="O34" ca="1">_xlfn.IFS(K34="Pending",DAYS360(F34,J34),K34="Issued",DAYS360(F34,H34),K34="Withdrawan",DAYS360(F34,I34))</f>
        <v>145</v>
      </c>
      <c r="P34" s="140" t="str">
        <f t="shared" si="1"/>
        <v>NA</v>
      </c>
      <c r="Q34" s="111"/>
      <c r="R34" s="112" t="s">
        <v>51</v>
      </c>
      <c r="S34" s="112" t="s">
        <v>229</v>
      </c>
      <c r="T34" s="112" t="s">
        <v>29</v>
      </c>
      <c r="U34" s="114"/>
    </row>
    <row r="35" spans="1:21" s="104" customFormat="1" ht="14" x14ac:dyDescent="0.15">
      <c r="A35" s="116" t="s">
        <v>32</v>
      </c>
      <c r="B35" s="109"/>
      <c r="C35" s="109"/>
      <c r="D35" s="109" t="s">
        <v>23</v>
      </c>
      <c r="E35" s="109"/>
      <c r="F35" s="110">
        <v>44969</v>
      </c>
      <c r="G35" s="110">
        <v>44972</v>
      </c>
      <c r="H35" s="110"/>
      <c r="I35" s="110"/>
      <c r="J35" s="138">
        <f t="shared" ref="J35:J66" ca="1" si="2">TODAY()</f>
        <v>45103</v>
      </c>
      <c r="K35" s="110" t="s">
        <v>226</v>
      </c>
      <c r="L35" s="111">
        <v>0</v>
      </c>
      <c r="M35" s="111">
        <v>500000</v>
      </c>
      <c r="N35" s="111">
        <v>0</v>
      </c>
      <c r="O35" s="140" cm="1">
        <f t="array" aca="1" ref="O35" ca="1">_xlfn.IFS(K35="Pending",DAYS360(F35,J35),K35="Issued",DAYS360(F35,H35),K35="Withdrawan",DAYS360(F35,I35))</f>
        <v>134</v>
      </c>
      <c r="P35" s="140" t="str">
        <f t="shared" ref="P35:P66" si="3">IF(K35="Issued",DAYS360(F35,H35),"NA")</f>
        <v>NA</v>
      </c>
      <c r="Q35" s="111"/>
      <c r="R35" s="112" t="s">
        <v>52</v>
      </c>
      <c r="S35" s="112" t="s">
        <v>49</v>
      </c>
      <c r="T35" s="112" t="s">
        <v>28</v>
      </c>
      <c r="U35" s="114"/>
    </row>
    <row r="36" spans="1:21" s="104" customFormat="1" ht="14" x14ac:dyDescent="0.15">
      <c r="A36" s="116" t="s">
        <v>33</v>
      </c>
      <c r="B36" s="109"/>
      <c r="C36" s="109"/>
      <c r="D36" s="109" t="s">
        <v>24</v>
      </c>
      <c r="E36" s="109"/>
      <c r="F36" s="110">
        <v>45009</v>
      </c>
      <c r="G36" s="110">
        <v>45009</v>
      </c>
      <c r="H36" s="110"/>
      <c r="I36" s="110">
        <v>45037</v>
      </c>
      <c r="J36" s="138">
        <f t="shared" ca="1" si="2"/>
        <v>45103</v>
      </c>
      <c r="K36" s="110" t="s">
        <v>227</v>
      </c>
      <c r="L36" s="111">
        <v>0</v>
      </c>
      <c r="M36" s="111">
        <v>30000</v>
      </c>
      <c r="N36" s="111">
        <v>0</v>
      </c>
      <c r="O36" s="140" cm="1">
        <f t="array" aca="1" ref="O36" ca="1">_xlfn.IFS(K36="Pending",DAYS360(F36,J36),K36="Issued",DAYS360(F36,H36),K36="Withdrawn",DAYS360(F36,I36))</f>
        <v>27</v>
      </c>
      <c r="P36" s="140" t="str">
        <f t="shared" si="3"/>
        <v>NA</v>
      </c>
      <c r="Q36" s="111"/>
      <c r="R36" s="112" t="s">
        <v>53</v>
      </c>
      <c r="S36" s="112" t="s">
        <v>49</v>
      </c>
      <c r="T36" s="112" t="s">
        <v>29</v>
      </c>
      <c r="U36" s="114"/>
    </row>
    <row r="37" spans="1:21" s="104" customFormat="1" ht="14" x14ac:dyDescent="0.15">
      <c r="A37" s="116" t="s">
        <v>17</v>
      </c>
      <c r="B37" s="109"/>
      <c r="C37" s="109"/>
      <c r="D37" s="109" t="s">
        <v>23</v>
      </c>
      <c r="E37" s="109"/>
      <c r="F37" s="110">
        <v>45012</v>
      </c>
      <c r="G37" s="110">
        <v>45013</v>
      </c>
      <c r="H37" s="110"/>
      <c r="I37" s="110"/>
      <c r="J37" s="138">
        <f t="shared" ca="1" si="2"/>
        <v>45103</v>
      </c>
      <c r="K37" s="110" t="s">
        <v>226</v>
      </c>
      <c r="L37" s="111">
        <v>50000</v>
      </c>
      <c r="M37" s="111">
        <v>0</v>
      </c>
      <c r="N37" s="111">
        <v>0</v>
      </c>
      <c r="O37" s="140" cm="1">
        <f t="array" aca="1" ref="O37" ca="1">_xlfn.IFS(K37="Pending",DAYS360(F37,J37),K37="Issued",DAYS360(F37,H37),K37="Withdrawn",DAYS360(F37,I37))</f>
        <v>89</v>
      </c>
      <c r="P37" s="140" t="str">
        <f t="shared" si="3"/>
        <v>NA</v>
      </c>
      <c r="Q37" s="111"/>
      <c r="R37" s="112" t="s">
        <v>54</v>
      </c>
      <c r="S37" s="112" t="s">
        <v>39</v>
      </c>
      <c r="T37" s="112" t="s">
        <v>29</v>
      </c>
      <c r="U37" s="114"/>
    </row>
    <row r="38" spans="1:21" s="104" customFormat="1" ht="14" x14ac:dyDescent="0.15">
      <c r="A38" s="116" t="s">
        <v>32</v>
      </c>
      <c r="B38" s="109"/>
      <c r="C38" s="109"/>
      <c r="D38" s="109" t="s">
        <v>12</v>
      </c>
      <c r="E38" s="109"/>
      <c r="F38" s="110">
        <v>45017</v>
      </c>
      <c r="G38" s="110">
        <v>45017</v>
      </c>
      <c r="H38" s="110"/>
      <c r="I38" s="110"/>
      <c r="J38" s="138">
        <f t="shared" ca="1" si="2"/>
        <v>45103</v>
      </c>
      <c r="K38" s="110" t="s">
        <v>226</v>
      </c>
      <c r="L38" s="111">
        <v>0</v>
      </c>
      <c r="M38" s="111">
        <v>125000</v>
      </c>
      <c r="N38" s="111">
        <v>0</v>
      </c>
      <c r="O38" s="140" cm="1">
        <f t="array" aca="1" ref="O38" ca="1">_xlfn.IFS(K38="Pending",DAYS360(F38,J38),K38="Issued",DAYS360(F38,H38),K38="Withdrawn",DAYS360(F38,I38))</f>
        <v>85</v>
      </c>
      <c r="P38" s="140" t="str">
        <f t="shared" si="3"/>
        <v>NA</v>
      </c>
      <c r="Q38" s="111"/>
      <c r="R38" s="112" t="s">
        <v>53</v>
      </c>
      <c r="S38" s="112" t="s">
        <v>230</v>
      </c>
      <c r="T38" s="112" t="s">
        <v>29</v>
      </c>
      <c r="U38" s="114"/>
    </row>
    <row r="39" spans="1:21" s="104" customFormat="1" ht="14" x14ac:dyDescent="0.15">
      <c r="A39" s="116" t="s">
        <v>31</v>
      </c>
      <c r="B39" s="109"/>
      <c r="C39" s="109"/>
      <c r="D39" s="109" t="s">
        <v>56</v>
      </c>
      <c r="E39" s="109"/>
      <c r="F39" s="110">
        <v>45021</v>
      </c>
      <c r="G39" s="110">
        <v>45021</v>
      </c>
      <c r="H39" s="110"/>
      <c r="I39" s="110"/>
      <c r="J39" s="138">
        <f t="shared" ca="1" si="2"/>
        <v>45103</v>
      </c>
      <c r="K39" s="110" t="s">
        <v>226</v>
      </c>
      <c r="L39" s="111">
        <v>500</v>
      </c>
      <c r="M39" s="111">
        <v>0</v>
      </c>
      <c r="N39" s="111">
        <v>0</v>
      </c>
      <c r="O39" s="140" cm="1">
        <f t="array" aca="1" ref="O39" ca="1">_xlfn.IFS(K39="Pending",DAYS360(F39,J39),K39="Issued",DAYS360(F39,H39),K39="Withdrawn",DAYS360(F39,I39))</f>
        <v>81</v>
      </c>
      <c r="P39" s="140" t="str">
        <f t="shared" si="3"/>
        <v>NA</v>
      </c>
      <c r="Q39" s="111"/>
      <c r="R39" s="112" t="s">
        <v>54</v>
      </c>
      <c r="S39" s="112" t="s">
        <v>37</v>
      </c>
      <c r="T39" s="112" t="s">
        <v>28</v>
      </c>
      <c r="U39" s="114"/>
    </row>
    <row r="40" spans="1:21" s="104" customFormat="1" ht="14" x14ac:dyDescent="0.15">
      <c r="A40" s="116" t="s">
        <v>17</v>
      </c>
      <c r="B40" s="109"/>
      <c r="C40" s="109"/>
      <c r="D40" s="109" t="s">
        <v>12</v>
      </c>
      <c r="E40" s="109"/>
      <c r="F40" s="110">
        <v>45028</v>
      </c>
      <c r="G40" s="110">
        <v>45033</v>
      </c>
      <c r="H40" s="110"/>
      <c r="I40" s="110"/>
      <c r="J40" s="138">
        <f t="shared" ca="1" si="2"/>
        <v>45103</v>
      </c>
      <c r="K40" s="110" t="s">
        <v>226</v>
      </c>
      <c r="L40" s="111">
        <v>0</v>
      </c>
      <c r="M40" s="111">
        <v>800000</v>
      </c>
      <c r="N40" s="111">
        <v>0</v>
      </c>
      <c r="O40" s="140" cm="1">
        <f t="array" aca="1" ref="O40" ca="1">_xlfn.IFS(K40="Pending",DAYS360(F40,J40),K40="Issued",DAYS360(F40,H40),K40="Withdrawn",DAYS360(F40,I40))</f>
        <v>74</v>
      </c>
      <c r="P40" s="140" t="str">
        <f t="shared" si="3"/>
        <v>NA</v>
      </c>
      <c r="Q40" s="111"/>
      <c r="R40" s="112" t="s">
        <v>52</v>
      </c>
      <c r="S40" s="112" t="s">
        <v>48</v>
      </c>
      <c r="T40" s="112" t="s">
        <v>29</v>
      </c>
      <c r="U40" s="114"/>
    </row>
    <row r="41" spans="1:21" s="104" customFormat="1" ht="14" x14ac:dyDescent="0.15">
      <c r="A41" s="116" t="s">
        <v>31</v>
      </c>
      <c r="B41" s="109" t="s">
        <v>209</v>
      </c>
      <c r="C41" s="109" t="s">
        <v>210</v>
      </c>
      <c r="D41" s="109" t="s">
        <v>23</v>
      </c>
      <c r="E41" s="109" t="s">
        <v>211</v>
      </c>
      <c r="F41" s="110">
        <v>45031</v>
      </c>
      <c r="G41" s="110">
        <v>45034</v>
      </c>
      <c r="H41" s="110"/>
      <c r="I41" s="110"/>
      <c r="J41" s="138">
        <f t="shared" ca="1" si="2"/>
        <v>45103</v>
      </c>
      <c r="K41" s="110" t="s">
        <v>226</v>
      </c>
      <c r="L41" s="111">
        <v>0</v>
      </c>
      <c r="M41" s="111">
        <v>500000</v>
      </c>
      <c r="N41" s="111">
        <v>0</v>
      </c>
      <c r="O41" s="140" cm="1">
        <f t="array" aca="1" ref="O41" ca="1">_xlfn.IFS(K41="Pending",DAYS360(F41,J41),K41="Issued",DAYS360(F41,H41),K41="Withdrawn",DAYS360(F41,I41))</f>
        <v>71</v>
      </c>
      <c r="P41" s="140" t="str">
        <f t="shared" si="3"/>
        <v>NA</v>
      </c>
      <c r="Q41" s="111"/>
      <c r="R41" s="112" t="s">
        <v>53</v>
      </c>
      <c r="S41" s="112" t="s">
        <v>48</v>
      </c>
      <c r="T41" s="112" t="s">
        <v>29</v>
      </c>
      <c r="U41" s="114"/>
    </row>
    <row r="42" spans="1:21" s="104" customFormat="1" ht="14" x14ac:dyDescent="0.15">
      <c r="A42" s="109" t="s">
        <v>31</v>
      </c>
      <c r="B42" s="109"/>
      <c r="C42" s="109"/>
      <c r="D42" s="109" t="s">
        <v>24</v>
      </c>
      <c r="E42" s="109"/>
      <c r="F42" s="110">
        <v>45037</v>
      </c>
      <c r="G42" s="110">
        <v>45037</v>
      </c>
      <c r="H42" s="110"/>
      <c r="I42" s="110"/>
      <c r="J42" s="138">
        <f t="shared" ca="1" si="2"/>
        <v>45103</v>
      </c>
      <c r="K42" s="110" t="s">
        <v>226</v>
      </c>
      <c r="L42" s="111">
        <v>0</v>
      </c>
      <c r="M42" s="111">
        <v>15000</v>
      </c>
      <c r="N42" s="111">
        <v>0</v>
      </c>
      <c r="O42" s="140" cm="1">
        <f t="array" aca="1" ref="O42" ca="1">_xlfn.IFS(K42="Pending",DAYS360(F42,J42),K42="Issued",DAYS360(F42,H42),K42="Withdrawn",DAYS360(F42,I42))</f>
        <v>65</v>
      </c>
      <c r="P42" s="140" t="str">
        <f t="shared" si="3"/>
        <v>NA</v>
      </c>
      <c r="Q42" s="111"/>
      <c r="R42" s="112" t="s">
        <v>53</v>
      </c>
      <c r="S42" s="112" t="s">
        <v>49</v>
      </c>
      <c r="T42" s="112" t="s">
        <v>27</v>
      </c>
      <c r="U42" s="114"/>
    </row>
    <row r="43" spans="1:21" x14ac:dyDescent="0.2">
      <c r="A43" s="109"/>
      <c r="B43" s="109"/>
      <c r="C43" s="109"/>
      <c r="D43" s="109"/>
      <c r="E43" s="109"/>
      <c r="F43" s="110"/>
      <c r="G43" s="109"/>
      <c r="H43" s="110"/>
      <c r="I43" s="110"/>
      <c r="J43" s="138">
        <f t="shared" ca="1" si="2"/>
        <v>45103</v>
      </c>
      <c r="K43" s="110"/>
      <c r="L43" s="111">
        <v>0</v>
      </c>
      <c r="M43" s="111">
        <v>0</v>
      </c>
      <c r="N43" s="111">
        <v>0</v>
      </c>
      <c r="O43" s="140" t="e" cm="1">
        <f t="array" aca="1" ref="O43" ca="1">_xlfn.IFS(K43="Pending",DAYS360(F43,J43),K43="Issued",DAYS360(F43,H43),K43="Withdrawn",DAYS360(F43,I43))</f>
        <v>#N/A</v>
      </c>
      <c r="P43" s="140" t="str">
        <f t="shared" si="3"/>
        <v>NA</v>
      </c>
      <c r="Q43" s="111"/>
      <c r="R43" s="112"/>
      <c r="S43" s="112"/>
      <c r="T43" s="112"/>
      <c r="U43" s="114"/>
    </row>
    <row r="44" spans="1:21" s="104" customFormat="1" ht="14" x14ac:dyDescent="0.15">
      <c r="A44" s="109"/>
      <c r="B44" s="109"/>
      <c r="C44" s="109"/>
      <c r="D44" s="109"/>
      <c r="E44" s="109"/>
      <c r="F44" s="110"/>
      <c r="G44" s="109"/>
      <c r="H44" s="110"/>
      <c r="I44" s="110"/>
      <c r="J44" s="138">
        <f t="shared" ca="1" si="2"/>
        <v>45103</v>
      </c>
      <c r="K44" s="110"/>
      <c r="L44" s="111">
        <v>0</v>
      </c>
      <c r="M44" s="111">
        <v>0</v>
      </c>
      <c r="N44" s="111">
        <v>0</v>
      </c>
      <c r="O44" s="140" t="e" cm="1">
        <f t="array" aca="1" ref="O44" ca="1">_xlfn.IFS(K44="Pending",DAYS360(F44,J44),K44="Issued",DAYS360(F44,H44),K44="Withdrawn",DAYS360(F44,I44))</f>
        <v>#N/A</v>
      </c>
      <c r="P44" s="140" t="str">
        <f t="shared" si="3"/>
        <v>NA</v>
      </c>
      <c r="Q44" s="111"/>
      <c r="R44" s="112"/>
      <c r="S44" s="112"/>
      <c r="T44" s="112"/>
      <c r="U44" s="114"/>
    </row>
    <row r="45" spans="1:21" s="104" customFormat="1" ht="14" x14ac:dyDescent="0.15">
      <c r="A45" s="109"/>
      <c r="B45" s="109"/>
      <c r="C45" s="109"/>
      <c r="D45" s="109"/>
      <c r="E45" s="109"/>
      <c r="F45" s="110"/>
      <c r="G45" s="109"/>
      <c r="H45" s="110"/>
      <c r="I45" s="110"/>
      <c r="J45" s="138">
        <f t="shared" ca="1" si="2"/>
        <v>45103</v>
      </c>
      <c r="K45" s="110"/>
      <c r="L45" s="111">
        <v>0</v>
      </c>
      <c r="M45" s="111">
        <v>0</v>
      </c>
      <c r="N45" s="111">
        <v>0</v>
      </c>
      <c r="O45" s="140" t="e" cm="1">
        <f t="array" aca="1" ref="O45" ca="1">_xlfn.IFS(K45="Pending",DAYS360(F45,J45),K45="Issued",DAYS360(F45,H45),K45="Withdrawn",DAYS360(F45,I45))</f>
        <v>#N/A</v>
      </c>
      <c r="P45" s="140" t="str">
        <f t="shared" si="3"/>
        <v>NA</v>
      </c>
      <c r="Q45" s="111"/>
      <c r="R45" s="112"/>
      <c r="S45" s="112"/>
      <c r="T45" s="112"/>
      <c r="U45" s="114"/>
    </row>
    <row r="46" spans="1:21" s="104" customFormat="1" ht="14" x14ac:dyDescent="0.15">
      <c r="A46" s="109"/>
      <c r="B46" s="109"/>
      <c r="C46" s="109"/>
      <c r="D46" s="109"/>
      <c r="E46" s="109"/>
      <c r="F46" s="110"/>
      <c r="G46" s="109"/>
      <c r="H46" s="110"/>
      <c r="I46" s="110"/>
      <c r="J46" s="138">
        <f t="shared" ca="1" si="2"/>
        <v>45103</v>
      </c>
      <c r="K46" s="110"/>
      <c r="L46" s="111">
        <v>0</v>
      </c>
      <c r="M46" s="111">
        <v>0</v>
      </c>
      <c r="N46" s="111">
        <v>0</v>
      </c>
      <c r="O46" s="140" t="e" cm="1">
        <f t="array" aca="1" ref="O46" ca="1">_xlfn.IFS(K46="Pending",DAYS360(F46,J46),K46="Issued",DAYS360(F46,H46),K46="Withdrawn",DAYS360(F46,I46))</f>
        <v>#N/A</v>
      </c>
      <c r="P46" s="140" t="str">
        <f t="shared" si="3"/>
        <v>NA</v>
      </c>
      <c r="Q46" s="111"/>
      <c r="R46" s="112"/>
      <c r="S46" s="112"/>
      <c r="T46" s="112"/>
      <c r="U46" s="114"/>
    </row>
    <row r="47" spans="1:21" s="104" customFormat="1" ht="14" x14ac:dyDescent="0.15">
      <c r="A47" s="109"/>
      <c r="B47" s="109"/>
      <c r="C47" s="109"/>
      <c r="D47" s="109"/>
      <c r="E47" s="109"/>
      <c r="F47" s="110"/>
      <c r="G47" s="109"/>
      <c r="H47" s="110"/>
      <c r="I47" s="110"/>
      <c r="J47" s="138">
        <f t="shared" ca="1" si="2"/>
        <v>45103</v>
      </c>
      <c r="K47" s="110"/>
      <c r="L47" s="111">
        <v>0</v>
      </c>
      <c r="M47" s="111">
        <v>0</v>
      </c>
      <c r="N47" s="111">
        <v>0</v>
      </c>
      <c r="O47" s="140" t="e" cm="1">
        <f t="array" aca="1" ref="O47" ca="1">_xlfn.IFS(K47="Pending",DAYS360(F47,J47),K47="Issued",DAYS360(F47,H47),K47="Withdrawn",DAYS360(F47,I47))</f>
        <v>#N/A</v>
      </c>
      <c r="P47" s="140" t="str">
        <f t="shared" si="3"/>
        <v>NA</v>
      </c>
      <c r="Q47" s="111"/>
      <c r="R47" s="112"/>
      <c r="S47" s="112"/>
      <c r="T47" s="112"/>
      <c r="U47" s="114"/>
    </row>
    <row r="48" spans="1:21" s="104" customFormat="1" ht="14" x14ac:dyDescent="0.15">
      <c r="A48" s="109"/>
      <c r="B48" s="109"/>
      <c r="C48" s="109"/>
      <c r="D48" s="109"/>
      <c r="E48" s="109"/>
      <c r="F48" s="110"/>
      <c r="G48" s="109"/>
      <c r="H48" s="110"/>
      <c r="I48" s="110"/>
      <c r="J48" s="138">
        <f t="shared" ca="1" si="2"/>
        <v>45103</v>
      </c>
      <c r="K48" s="110"/>
      <c r="L48" s="111">
        <v>0</v>
      </c>
      <c r="M48" s="111">
        <v>0</v>
      </c>
      <c r="N48" s="111">
        <v>0</v>
      </c>
      <c r="O48" s="140" t="e" cm="1">
        <f t="array" aca="1" ref="O48" ca="1">_xlfn.IFS(K48="Pending",DAYS360(F48,J48),K48="Issued",DAYS360(F48,H48),K48="Withdrawn",DAYS360(F48,I48))</f>
        <v>#N/A</v>
      </c>
      <c r="P48" s="140" t="str">
        <f t="shared" si="3"/>
        <v>NA</v>
      </c>
      <c r="Q48" s="111"/>
      <c r="R48" s="112"/>
      <c r="S48" s="112"/>
      <c r="T48" s="112"/>
      <c r="U48" s="114"/>
    </row>
    <row r="49" spans="1:21" s="104" customFormat="1" ht="14" x14ac:dyDescent="0.15">
      <c r="A49" s="109"/>
      <c r="B49" s="109"/>
      <c r="C49" s="109"/>
      <c r="D49" s="109"/>
      <c r="E49" s="109"/>
      <c r="F49" s="110"/>
      <c r="G49" s="109"/>
      <c r="H49" s="110"/>
      <c r="I49" s="110"/>
      <c r="J49" s="138">
        <f t="shared" ca="1" si="2"/>
        <v>45103</v>
      </c>
      <c r="K49" s="110"/>
      <c r="L49" s="111">
        <v>0</v>
      </c>
      <c r="M49" s="111">
        <v>0</v>
      </c>
      <c r="N49" s="111">
        <v>0</v>
      </c>
      <c r="O49" s="140" t="e" cm="1">
        <f t="array" aca="1" ref="O49" ca="1">_xlfn.IFS(K49="Pending",DAYS360(F49,J49),K49="Issued",DAYS360(F49,H49),K49="Withdrawn",DAYS360(F49,I49))</f>
        <v>#N/A</v>
      </c>
      <c r="P49" s="140" t="str">
        <f t="shared" si="3"/>
        <v>NA</v>
      </c>
      <c r="Q49" s="111"/>
      <c r="R49" s="112"/>
      <c r="S49" s="112"/>
      <c r="T49" s="112"/>
      <c r="U49" s="114"/>
    </row>
    <row r="50" spans="1:21" s="104" customFormat="1" ht="14" x14ac:dyDescent="0.15">
      <c r="A50" s="109"/>
      <c r="B50" s="109"/>
      <c r="C50" s="109"/>
      <c r="D50" s="109"/>
      <c r="E50" s="109"/>
      <c r="F50" s="110"/>
      <c r="G50" s="109"/>
      <c r="H50" s="110"/>
      <c r="I50" s="110"/>
      <c r="J50" s="138">
        <f t="shared" ca="1" si="2"/>
        <v>45103</v>
      </c>
      <c r="K50" s="110"/>
      <c r="L50" s="111">
        <v>0</v>
      </c>
      <c r="M50" s="111">
        <v>0</v>
      </c>
      <c r="N50" s="111">
        <v>0</v>
      </c>
      <c r="O50" s="140" t="e" cm="1">
        <f t="array" aca="1" ref="O50" ca="1">_xlfn.IFS(K50="Pending",DAYS360(F50,J50),K50="Issued",DAYS360(F50,H50),K50="Withdrawn",DAYS360(F50,I50))</f>
        <v>#N/A</v>
      </c>
      <c r="P50" s="140" t="str">
        <f t="shared" si="3"/>
        <v>NA</v>
      </c>
      <c r="Q50" s="111"/>
      <c r="R50" s="112"/>
      <c r="S50" s="112"/>
      <c r="T50" s="112"/>
      <c r="U50" s="114"/>
    </row>
    <row r="51" spans="1:21" s="104" customFormat="1" ht="14" x14ac:dyDescent="0.15">
      <c r="A51" s="109"/>
      <c r="B51" s="109"/>
      <c r="C51" s="109"/>
      <c r="D51" s="109"/>
      <c r="E51" s="109"/>
      <c r="F51" s="110"/>
      <c r="G51" s="109"/>
      <c r="H51" s="110"/>
      <c r="I51" s="110"/>
      <c r="J51" s="138">
        <f t="shared" ca="1" si="2"/>
        <v>45103</v>
      </c>
      <c r="K51" s="110"/>
      <c r="L51" s="111">
        <v>0</v>
      </c>
      <c r="M51" s="111">
        <v>0</v>
      </c>
      <c r="N51" s="111">
        <v>0</v>
      </c>
      <c r="O51" s="140" t="e" cm="1">
        <f t="array" aca="1" ref="O51" ca="1">_xlfn.IFS(K51="Pending",DAYS360(F51,J51),K51="Issued",DAYS360(F51,H51),K51="Withdrawn",DAYS360(F51,I51))</f>
        <v>#N/A</v>
      </c>
      <c r="P51" s="140" t="str">
        <f t="shared" si="3"/>
        <v>NA</v>
      </c>
      <c r="Q51" s="111"/>
      <c r="R51" s="112"/>
      <c r="S51" s="112"/>
      <c r="T51" s="112"/>
      <c r="U51" s="114"/>
    </row>
    <row r="52" spans="1:21" s="104" customFormat="1" ht="14" x14ac:dyDescent="0.15">
      <c r="A52" s="109"/>
      <c r="B52" s="109"/>
      <c r="C52" s="109"/>
      <c r="D52" s="109"/>
      <c r="E52" s="109"/>
      <c r="F52" s="110"/>
      <c r="G52" s="109"/>
      <c r="H52" s="110"/>
      <c r="I52" s="110"/>
      <c r="J52" s="138">
        <f t="shared" ca="1" si="2"/>
        <v>45103</v>
      </c>
      <c r="K52" s="110"/>
      <c r="L52" s="111">
        <v>0</v>
      </c>
      <c r="M52" s="111">
        <v>0</v>
      </c>
      <c r="N52" s="111">
        <v>0</v>
      </c>
      <c r="O52" s="140" t="e" cm="1">
        <f t="array" aca="1" ref="O52" ca="1">_xlfn.IFS(K52="Pending",DAYS360(F52,J52),K52="Issued",DAYS360(F52,H52),K52="Withdrawn",DAYS360(F52,I52))</f>
        <v>#N/A</v>
      </c>
      <c r="P52" s="140" t="str">
        <f t="shared" si="3"/>
        <v>NA</v>
      </c>
      <c r="Q52" s="111"/>
      <c r="R52" s="112"/>
      <c r="S52" s="112"/>
      <c r="T52" s="112"/>
      <c r="U52" s="114"/>
    </row>
    <row r="53" spans="1:21" s="104" customFormat="1" ht="14" x14ac:dyDescent="0.15">
      <c r="A53" s="109"/>
      <c r="B53" s="109"/>
      <c r="C53" s="109"/>
      <c r="D53" s="109"/>
      <c r="E53" s="109"/>
      <c r="F53" s="110"/>
      <c r="G53" s="109"/>
      <c r="H53" s="110"/>
      <c r="I53" s="110"/>
      <c r="J53" s="138">
        <f t="shared" ca="1" si="2"/>
        <v>45103</v>
      </c>
      <c r="K53" s="110"/>
      <c r="L53" s="111">
        <v>0</v>
      </c>
      <c r="M53" s="111">
        <v>0</v>
      </c>
      <c r="N53" s="111">
        <v>0</v>
      </c>
      <c r="O53" s="140" t="e" cm="1">
        <f t="array" aca="1" ref="O53" ca="1">_xlfn.IFS(K53="Pending",DAYS360(F53,J53),K53="Issued",DAYS360(F53,H53),K53="Withdrawn",DAYS360(F53,I53))</f>
        <v>#N/A</v>
      </c>
      <c r="P53" s="140" t="str">
        <f t="shared" si="3"/>
        <v>NA</v>
      </c>
      <c r="Q53" s="111"/>
      <c r="R53" s="112"/>
      <c r="S53" s="112"/>
      <c r="T53" s="112"/>
      <c r="U53" s="114"/>
    </row>
    <row r="54" spans="1:21" s="104" customFormat="1" ht="14" x14ac:dyDescent="0.15">
      <c r="A54" s="109"/>
      <c r="B54" s="109"/>
      <c r="C54" s="109"/>
      <c r="D54" s="109"/>
      <c r="E54" s="109"/>
      <c r="F54" s="110"/>
      <c r="G54" s="109"/>
      <c r="H54" s="110"/>
      <c r="I54" s="110"/>
      <c r="J54" s="138">
        <f t="shared" ca="1" si="2"/>
        <v>45103</v>
      </c>
      <c r="K54" s="110"/>
      <c r="L54" s="111">
        <v>0</v>
      </c>
      <c r="M54" s="111">
        <v>0</v>
      </c>
      <c r="N54" s="111">
        <v>0</v>
      </c>
      <c r="O54" s="140" t="e" cm="1">
        <f t="array" aca="1" ref="O54" ca="1">_xlfn.IFS(K54="Pending",DAYS360(F54,J54),K54="Issued",DAYS360(F54,H54),K54="Withdrawn",DAYS360(F54,I54))</f>
        <v>#N/A</v>
      </c>
      <c r="P54" s="140" t="str">
        <f t="shared" si="3"/>
        <v>NA</v>
      </c>
      <c r="Q54" s="111"/>
      <c r="R54" s="112"/>
      <c r="S54" s="112"/>
      <c r="T54" s="112"/>
      <c r="U54" s="114"/>
    </row>
    <row r="55" spans="1:21" s="104" customFormat="1" ht="14" x14ac:dyDescent="0.15">
      <c r="A55" s="109"/>
      <c r="B55" s="109"/>
      <c r="C55" s="109"/>
      <c r="D55" s="109"/>
      <c r="E55" s="109"/>
      <c r="F55" s="110"/>
      <c r="G55" s="109"/>
      <c r="H55" s="110"/>
      <c r="I55" s="110"/>
      <c r="J55" s="138">
        <f t="shared" ca="1" si="2"/>
        <v>45103</v>
      </c>
      <c r="K55" s="110"/>
      <c r="L55" s="111">
        <v>0</v>
      </c>
      <c r="M55" s="111">
        <v>0</v>
      </c>
      <c r="N55" s="111">
        <v>0</v>
      </c>
      <c r="O55" s="140" t="e" cm="1">
        <f t="array" aca="1" ref="O55" ca="1">_xlfn.IFS(K55="Pending",DAYS360(F55,J55),K55="Issued",DAYS360(F55,H55),K55="Withdrawn",DAYS360(F55,I55))</f>
        <v>#N/A</v>
      </c>
      <c r="P55" s="140" t="str">
        <f t="shared" si="3"/>
        <v>NA</v>
      </c>
      <c r="Q55" s="111"/>
      <c r="R55" s="112"/>
      <c r="S55" s="112"/>
      <c r="T55" s="112"/>
      <c r="U55" s="114"/>
    </row>
    <row r="56" spans="1:21" s="104" customFormat="1" ht="14" x14ac:dyDescent="0.15">
      <c r="A56" s="109"/>
      <c r="B56" s="109"/>
      <c r="C56" s="109"/>
      <c r="D56" s="109"/>
      <c r="E56" s="109"/>
      <c r="F56" s="110"/>
      <c r="G56" s="109"/>
      <c r="H56" s="110"/>
      <c r="I56" s="110"/>
      <c r="J56" s="138">
        <f t="shared" ca="1" si="2"/>
        <v>45103</v>
      </c>
      <c r="K56" s="110"/>
      <c r="L56" s="111">
        <v>0</v>
      </c>
      <c r="M56" s="111">
        <v>0</v>
      </c>
      <c r="N56" s="111">
        <v>0</v>
      </c>
      <c r="O56" s="140" t="e" cm="1">
        <f t="array" aca="1" ref="O56" ca="1">_xlfn.IFS(K56="Pending",DAYS360(F56,J56),K56="Issued",DAYS360(F56,H56),K56="Withdrawn",DAYS360(F56,I56))</f>
        <v>#N/A</v>
      </c>
      <c r="P56" s="140" t="str">
        <f t="shared" si="3"/>
        <v>NA</v>
      </c>
      <c r="Q56" s="111"/>
      <c r="R56" s="112"/>
      <c r="S56" s="112"/>
      <c r="T56" s="112"/>
      <c r="U56" s="114"/>
    </row>
    <row r="57" spans="1:21" s="104" customFormat="1" ht="14" x14ac:dyDescent="0.15">
      <c r="A57" s="109"/>
      <c r="B57" s="109"/>
      <c r="C57" s="109"/>
      <c r="D57" s="109"/>
      <c r="E57" s="109"/>
      <c r="F57" s="110"/>
      <c r="G57" s="109"/>
      <c r="H57" s="110"/>
      <c r="I57" s="110"/>
      <c r="J57" s="138">
        <f t="shared" ca="1" si="2"/>
        <v>45103</v>
      </c>
      <c r="K57" s="110"/>
      <c r="L57" s="111">
        <v>0</v>
      </c>
      <c r="M57" s="111">
        <v>0</v>
      </c>
      <c r="N57" s="111">
        <v>0</v>
      </c>
      <c r="O57" s="140" t="e" cm="1">
        <f t="array" aca="1" ref="O57" ca="1">_xlfn.IFS(K57="Pending",DAYS360(F57,J57),K57="Issued",DAYS360(F57,H57),K57="Withdrawn",DAYS360(F57,I57))</f>
        <v>#N/A</v>
      </c>
      <c r="P57" s="140" t="str">
        <f t="shared" si="3"/>
        <v>NA</v>
      </c>
      <c r="Q57" s="111"/>
      <c r="R57" s="112"/>
      <c r="S57" s="112"/>
      <c r="T57" s="112"/>
      <c r="U57" s="114"/>
    </row>
    <row r="58" spans="1:21" s="104" customFormat="1" ht="14" x14ac:dyDescent="0.15">
      <c r="A58" s="109"/>
      <c r="B58" s="109"/>
      <c r="C58" s="109"/>
      <c r="D58" s="109"/>
      <c r="E58" s="109"/>
      <c r="F58" s="110"/>
      <c r="G58" s="109"/>
      <c r="H58" s="110"/>
      <c r="I58" s="110"/>
      <c r="J58" s="138">
        <f t="shared" ca="1" si="2"/>
        <v>45103</v>
      </c>
      <c r="K58" s="110"/>
      <c r="L58" s="111">
        <v>0</v>
      </c>
      <c r="M58" s="111">
        <v>0</v>
      </c>
      <c r="N58" s="111">
        <v>0</v>
      </c>
      <c r="O58" s="140" t="e" cm="1">
        <f t="array" aca="1" ref="O58" ca="1">_xlfn.IFS(K58="Pending",DAYS360(F58,J58),K58="Issued",DAYS360(F58,H58),K58="Withdrawn",DAYS360(F58,I58))</f>
        <v>#N/A</v>
      </c>
      <c r="P58" s="140" t="str">
        <f t="shared" si="3"/>
        <v>NA</v>
      </c>
      <c r="Q58" s="111"/>
      <c r="R58" s="112"/>
      <c r="S58" s="112"/>
      <c r="T58" s="112"/>
      <c r="U58" s="114"/>
    </row>
    <row r="59" spans="1:21" s="104" customFormat="1" ht="14" x14ac:dyDescent="0.15">
      <c r="A59" s="109"/>
      <c r="B59" s="109"/>
      <c r="C59" s="109"/>
      <c r="D59" s="109"/>
      <c r="E59" s="109"/>
      <c r="F59" s="110"/>
      <c r="G59" s="109"/>
      <c r="H59" s="110"/>
      <c r="I59" s="110"/>
      <c r="J59" s="138">
        <f t="shared" ca="1" si="2"/>
        <v>45103</v>
      </c>
      <c r="K59" s="110"/>
      <c r="L59" s="111">
        <v>0</v>
      </c>
      <c r="M59" s="111">
        <v>0</v>
      </c>
      <c r="N59" s="111">
        <v>0</v>
      </c>
      <c r="O59" s="140" t="e" cm="1">
        <f t="array" aca="1" ref="O59" ca="1">_xlfn.IFS(K59="Pending",DAYS360(F59,J59),K59="Issued",DAYS360(F59,H59),K59="Withdrawn",DAYS360(F59,I59))</f>
        <v>#N/A</v>
      </c>
      <c r="P59" s="140" t="str">
        <f t="shared" si="3"/>
        <v>NA</v>
      </c>
      <c r="Q59" s="111"/>
      <c r="R59" s="112"/>
      <c r="S59" s="112"/>
      <c r="T59" s="112"/>
      <c r="U59" s="114"/>
    </row>
    <row r="60" spans="1:21" s="104" customFormat="1" ht="14" x14ac:dyDescent="0.15">
      <c r="A60" s="109"/>
      <c r="B60" s="109"/>
      <c r="C60" s="109"/>
      <c r="D60" s="109"/>
      <c r="E60" s="109"/>
      <c r="F60" s="110"/>
      <c r="G60" s="109"/>
      <c r="H60" s="110"/>
      <c r="I60" s="110"/>
      <c r="J60" s="138">
        <f t="shared" ca="1" si="2"/>
        <v>45103</v>
      </c>
      <c r="K60" s="110"/>
      <c r="L60" s="111">
        <v>0</v>
      </c>
      <c r="M60" s="111">
        <v>0</v>
      </c>
      <c r="N60" s="111">
        <v>0</v>
      </c>
      <c r="O60" s="140" t="e" cm="1">
        <f t="array" aca="1" ref="O60" ca="1">_xlfn.IFS(K60="Pending",DAYS360(F60,J60),K60="Issued",DAYS360(F60,H60),K60="Withdrawn",DAYS360(F60,I60))</f>
        <v>#N/A</v>
      </c>
      <c r="P60" s="140" t="str">
        <f t="shared" si="3"/>
        <v>NA</v>
      </c>
      <c r="Q60" s="111"/>
      <c r="R60" s="112"/>
      <c r="S60" s="112"/>
      <c r="T60" s="112"/>
      <c r="U60" s="114"/>
    </row>
    <row r="61" spans="1:21" s="104" customFormat="1" ht="14" x14ac:dyDescent="0.15">
      <c r="A61" s="109"/>
      <c r="B61" s="109"/>
      <c r="C61" s="109"/>
      <c r="D61" s="109"/>
      <c r="E61" s="109"/>
      <c r="F61" s="110"/>
      <c r="G61" s="109"/>
      <c r="H61" s="110"/>
      <c r="I61" s="110"/>
      <c r="J61" s="138">
        <f t="shared" ca="1" si="2"/>
        <v>45103</v>
      </c>
      <c r="K61" s="110"/>
      <c r="L61" s="111">
        <v>0</v>
      </c>
      <c r="M61" s="111">
        <v>0</v>
      </c>
      <c r="N61" s="111">
        <v>0</v>
      </c>
      <c r="O61" s="140" t="e" cm="1">
        <f t="array" aca="1" ref="O61" ca="1">_xlfn.IFS(K61="Pending",DAYS360(F61,J61),K61="Issued",DAYS360(F61,H61),K61="Withdrawn",DAYS360(F61,I61))</f>
        <v>#N/A</v>
      </c>
      <c r="P61" s="140" t="str">
        <f t="shared" si="3"/>
        <v>NA</v>
      </c>
      <c r="Q61" s="111"/>
      <c r="R61" s="112"/>
      <c r="S61" s="112"/>
      <c r="T61" s="112"/>
      <c r="U61" s="114"/>
    </row>
    <row r="62" spans="1:21" s="104" customFormat="1" ht="14" x14ac:dyDescent="0.15">
      <c r="A62" s="109"/>
      <c r="B62" s="109"/>
      <c r="C62" s="109"/>
      <c r="D62" s="109"/>
      <c r="E62" s="109"/>
      <c r="F62" s="110"/>
      <c r="G62" s="109"/>
      <c r="H62" s="110"/>
      <c r="I62" s="110"/>
      <c r="J62" s="138">
        <f t="shared" ca="1" si="2"/>
        <v>45103</v>
      </c>
      <c r="K62" s="110"/>
      <c r="L62" s="111">
        <v>0</v>
      </c>
      <c r="M62" s="111">
        <v>0</v>
      </c>
      <c r="N62" s="111">
        <v>0</v>
      </c>
      <c r="O62" s="140" t="e" cm="1">
        <f t="array" aca="1" ref="O62" ca="1">_xlfn.IFS(K62="Pending",DAYS360(F62,J62),K62="Issued",DAYS360(F62,H62),K62="Withdrawn",DAYS360(F62,I62))</f>
        <v>#N/A</v>
      </c>
      <c r="P62" s="140" t="str">
        <f t="shared" si="3"/>
        <v>NA</v>
      </c>
      <c r="Q62" s="111"/>
      <c r="R62" s="112"/>
      <c r="S62" s="112"/>
      <c r="T62" s="112"/>
      <c r="U62" s="114"/>
    </row>
    <row r="63" spans="1:21" s="104" customFormat="1" ht="14" x14ac:dyDescent="0.15">
      <c r="A63" s="109"/>
      <c r="B63" s="109"/>
      <c r="C63" s="109"/>
      <c r="D63" s="109"/>
      <c r="E63" s="109"/>
      <c r="F63" s="110"/>
      <c r="G63" s="109"/>
      <c r="H63" s="110"/>
      <c r="I63" s="110"/>
      <c r="J63" s="138">
        <f t="shared" ca="1" si="2"/>
        <v>45103</v>
      </c>
      <c r="K63" s="110"/>
      <c r="L63" s="111">
        <v>0</v>
      </c>
      <c r="M63" s="111">
        <v>0</v>
      </c>
      <c r="N63" s="111">
        <v>0</v>
      </c>
      <c r="O63" s="140" t="e" cm="1">
        <f t="array" aca="1" ref="O63" ca="1">_xlfn.IFS(K63="Pending",DAYS360(F63,J63),K63="Issued",DAYS360(F63,H63),K63="Withdrawn",DAYS360(F63,I63))</f>
        <v>#N/A</v>
      </c>
      <c r="P63" s="140" t="str">
        <f t="shared" si="3"/>
        <v>NA</v>
      </c>
      <c r="Q63" s="111"/>
      <c r="R63" s="112"/>
      <c r="S63" s="112"/>
      <c r="T63" s="112"/>
      <c r="U63" s="114"/>
    </row>
    <row r="64" spans="1:21" s="104" customFormat="1" ht="14" x14ac:dyDescent="0.15">
      <c r="A64" s="109"/>
      <c r="B64" s="109"/>
      <c r="C64" s="109"/>
      <c r="D64" s="109"/>
      <c r="E64" s="109"/>
      <c r="F64" s="110"/>
      <c r="G64" s="109"/>
      <c r="H64" s="110"/>
      <c r="I64" s="110"/>
      <c r="J64" s="138">
        <f t="shared" ca="1" si="2"/>
        <v>45103</v>
      </c>
      <c r="K64" s="110"/>
      <c r="L64" s="111">
        <v>0</v>
      </c>
      <c r="M64" s="111">
        <v>0</v>
      </c>
      <c r="N64" s="111">
        <v>0</v>
      </c>
      <c r="O64" s="140" t="e" cm="1">
        <f t="array" aca="1" ref="O64" ca="1">_xlfn.IFS(K64="Pending",DAYS360(F64,J64),K64="Issued",DAYS360(F64,H64),K64="Withdrawn",DAYS360(F64,I64))</f>
        <v>#N/A</v>
      </c>
      <c r="P64" s="140" t="str">
        <f t="shared" si="3"/>
        <v>NA</v>
      </c>
      <c r="Q64" s="111"/>
      <c r="R64" s="112"/>
      <c r="S64" s="112"/>
      <c r="T64" s="112"/>
      <c r="U64" s="114"/>
    </row>
    <row r="65" spans="1:21" s="104" customFormat="1" ht="14" x14ac:dyDescent="0.15">
      <c r="A65" s="109"/>
      <c r="B65" s="109"/>
      <c r="C65" s="109"/>
      <c r="D65" s="109"/>
      <c r="E65" s="109"/>
      <c r="F65" s="110"/>
      <c r="G65" s="109"/>
      <c r="H65" s="110"/>
      <c r="I65" s="110"/>
      <c r="J65" s="138">
        <f t="shared" ca="1" si="2"/>
        <v>45103</v>
      </c>
      <c r="K65" s="110"/>
      <c r="L65" s="111">
        <v>0</v>
      </c>
      <c r="M65" s="111">
        <v>0</v>
      </c>
      <c r="N65" s="111">
        <v>0</v>
      </c>
      <c r="O65" s="140" t="e" cm="1">
        <f t="array" aca="1" ref="O65" ca="1">_xlfn.IFS(K65="Pending",DAYS360(F65,J65),K65="Issued",DAYS360(F65,H65),K65="Withdrawn",DAYS360(F65,I65))</f>
        <v>#N/A</v>
      </c>
      <c r="P65" s="140" t="str">
        <f t="shared" si="3"/>
        <v>NA</v>
      </c>
      <c r="Q65" s="111"/>
      <c r="R65" s="112"/>
      <c r="S65" s="112"/>
      <c r="T65" s="112"/>
      <c r="U65" s="114"/>
    </row>
    <row r="66" spans="1:21" s="104" customFormat="1" ht="14" x14ac:dyDescent="0.15">
      <c r="A66" s="109"/>
      <c r="B66" s="109"/>
      <c r="C66" s="109"/>
      <c r="D66" s="109"/>
      <c r="E66" s="109"/>
      <c r="F66" s="110"/>
      <c r="G66" s="109"/>
      <c r="H66" s="110"/>
      <c r="I66" s="110"/>
      <c r="J66" s="138">
        <f t="shared" ca="1" si="2"/>
        <v>45103</v>
      </c>
      <c r="K66" s="110"/>
      <c r="L66" s="111">
        <v>0</v>
      </c>
      <c r="M66" s="111">
        <v>0</v>
      </c>
      <c r="N66" s="111">
        <v>0</v>
      </c>
      <c r="O66" s="140" t="e" cm="1">
        <f t="array" aca="1" ref="O66" ca="1">_xlfn.IFS(K66="Pending",DAYS360(F66,J66),K66="Issued",DAYS360(F66,H66),K66="Withdrawn",DAYS360(F66,I66))</f>
        <v>#N/A</v>
      </c>
      <c r="P66" s="140" t="str">
        <f t="shared" si="3"/>
        <v>NA</v>
      </c>
      <c r="Q66" s="111"/>
      <c r="R66" s="112"/>
      <c r="S66" s="112"/>
      <c r="T66" s="112"/>
      <c r="U66" s="114"/>
    </row>
    <row r="67" spans="1:21" s="104" customFormat="1" ht="14" x14ac:dyDescent="0.15">
      <c r="A67" s="109"/>
      <c r="B67" s="109"/>
      <c r="C67" s="109"/>
      <c r="D67" s="109"/>
      <c r="E67" s="109"/>
      <c r="F67" s="110"/>
      <c r="G67" s="109"/>
      <c r="H67" s="110"/>
      <c r="I67" s="110"/>
      <c r="J67" s="138">
        <f t="shared" ref="J67:J98" ca="1" si="4">TODAY()</f>
        <v>45103</v>
      </c>
      <c r="K67" s="110"/>
      <c r="L67" s="111">
        <v>0</v>
      </c>
      <c r="M67" s="111">
        <v>0</v>
      </c>
      <c r="N67" s="111">
        <v>0</v>
      </c>
      <c r="O67" s="140" t="e" cm="1">
        <f t="array" aca="1" ref="O67" ca="1">_xlfn.IFS(K67="Pending",DAYS360(F67,J67),K67="Issued",DAYS360(F67,H67),K67="Withdrawn",DAYS360(F67,I67))</f>
        <v>#N/A</v>
      </c>
      <c r="P67" s="140" t="str">
        <f t="shared" ref="P67:P98" si="5">IF(K67="Issued",DAYS360(F67,H67),"NA")</f>
        <v>NA</v>
      </c>
      <c r="Q67" s="111"/>
      <c r="R67" s="112"/>
      <c r="S67" s="112"/>
      <c r="T67" s="112"/>
      <c r="U67" s="114"/>
    </row>
    <row r="68" spans="1:21" s="104" customFormat="1" ht="14" x14ac:dyDescent="0.15">
      <c r="A68" s="109"/>
      <c r="B68" s="109"/>
      <c r="C68" s="109"/>
      <c r="D68" s="109"/>
      <c r="E68" s="109"/>
      <c r="F68" s="110"/>
      <c r="G68" s="109"/>
      <c r="H68" s="110"/>
      <c r="I68" s="110"/>
      <c r="J68" s="138">
        <f t="shared" ca="1" si="4"/>
        <v>45103</v>
      </c>
      <c r="K68" s="110"/>
      <c r="L68" s="111">
        <v>0</v>
      </c>
      <c r="M68" s="111">
        <v>0</v>
      </c>
      <c r="N68" s="111">
        <v>0</v>
      </c>
      <c r="O68" s="140" t="e" cm="1">
        <f t="array" aca="1" ref="O68" ca="1">_xlfn.IFS(K68="Pending",DAYS360(F68,J68),K68="Issued",DAYS360(F68,H68),K68="Withdrawn",DAYS360(F68,I68))</f>
        <v>#N/A</v>
      </c>
      <c r="P68" s="140" t="str">
        <f t="shared" si="5"/>
        <v>NA</v>
      </c>
      <c r="Q68" s="111"/>
      <c r="R68" s="112"/>
      <c r="S68" s="112"/>
      <c r="T68" s="112"/>
      <c r="U68" s="114"/>
    </row>
    <row r="69" spans="1:21" s="104" customFormat="1" ht="14" x14ac:dyDescent="0.15">
      <c r="A69" s="109"/>
      <c r="B69" s="109"/>
      <c r="C69" s="109"/>
      <c r="D69" s="109"/>
      <c r="E69" s="109"/>
      <c r="F69" s="110"/>
      <c r="G69" s="109"/>
      <c r="H69" s="110"/>
      <c r="I69" s="110"/>
      <c r="J69" s="138">
        <f t="shared" ca="1" si="4"/>
        <v>45103</v>
      </c>
      <c r="K69" s="110"/>
      <c r="L69" s="111">
        <v>0</v>
      </c>
      <c r="M69" s="111">
        <v>0</v>
      </c>
      <c r="N69" s="111">
        <v>0</v>
      </c>
      <c r="O69" s="140" t="e" cm="1">
        <f t="array" aca="1" ref="O69" ca="1">_xlfn.IFS(K69="Pending",DAYS360(F69,J69),K69="Issued",DAYS360(F69,H69),K69="Withdrawn",DAYS360(F69,I69))</f>
        <v>#N/A</v>
      </c>
      <c r="P69" s="140" t="str">
        <f t="shared" si="5"/>
        <v>NA</v>
      </c>
      <c r="Q69" s="111"/>
      <c r="R69" s="112"/>
      <c r="S69" s="112"/>
      <c r="T69" s="112"/>
      <c r="U69" s="114"/>
    </row>
    <row r="70" spans="1:21" s="104" customFormat="1" ht="14" x14ac:dyDescent="0.15">
      <c r="A70" s="109"/>
      <c r="B70" s="109"/>
      <c r="C70" s="109"/>
      <c r="D70" s="109"/>
      <c r="E70" s="109"/>
      <c r="F70" s="110"/>
      <c r="G70" s="109"/>
      <c r="H70" s="110"/>
      <c r="I70" s="110"/>
      <c r="J70" s="138">
        <f t="shared" ca="1" si="4"/>
        <v>45103</v>
      </c>
      <c r="K70" s="110"/>
      <c r="L70" s="111">
        <v>0</v>
      </c>
      <c r="M70" s="111">
        <v>0</v>
      </c>
      <c r="N70" s="111">
        <v>0</v>
      </c>
      <c r="O70" s="140" t="e" cm="1">
        <f t="array" aca="1" ref="O70" ca="1">_xlfn.IFS(K70="Pending",DAYS360(F70,J70),K70="Issued",DAYS360(F70,H70),K70="Withdrawn",DAYS360(F70,I70))</f>
        <v>#N/A</v>
      </c>
      <c r="P70" s="140" t="str">
        <f t="shared" si="5"/>
        <v>NA</v>
      </c>
      <c r="Q70" s="111"/>
      <c r="R70" s="112"/>
      <c r="S70" s="112"/>
      <c r="T70" s="112"/>
      <c r="U70" s="114"/>
    </row>
    <row r="71" spans="1:21" s="104" customFormat="1" ht="14" x14ac:dyDescent="0.15">
      <c r="A71" s="109"/>
      <c r="B71" s="109"/>
      <c r="C71" s="109"/>
      <c r="D71" s="109"/>
      <c r="E71" s="109"/>
      <c r="F71" s="110"/>
      <c r="G71" s="109"/>
      <c r="H71" s="110"/>
      <c r="I71" s="110"/>
      <c r="J71" s="138">
        <f t="shared" ca="1" si="4"/>
        <v>45103</v>
      </c>
      <c r="K71" s="110"/>
      <c r="L71" s="111">
        <v>0</v>
      </c>
      <c r="M71" s="111">
        <v>0</v>
      </c>
      <c r="N71" s="111">
        <v>0</v>
      </c>
      <c r="O71" s="140" t="e" cm="1">
        <f t="array" aca="1" ref="O71" ca="1">_xlfn.IFS(K71="Pending",DAYS360(F71,J71),K71="Issued",DAYS360(F71,H71),K71="Withdrawn",DAYS360(F71,I71))</f>
        <v>#N/A</v>
      </c>
      <c r="P71" s="140" t="str">
        <f t="shared" si="5"/>
        <v>NA</v>
      </c>
      <c r="Q71" s="111"/>
      <c r="R71" s="112"/>
      <c r="S71" s="112"/>
      <c r="T71" s="112"/>
      <c r="U71" s="114"/>
    </row>
    <row r="72" spans="1:21" s="104" customFormat="1" ht="14" x14ac:dyDescent="0.15">
      <c r="A72" s="109"/>
      <c r="B72" s="109"/>
      <c r="C72" s="109"/>
      <c r="D72" s="109"/>
      <c r="E72" s="109"/>
      <c r="F72" s="110"/>
      <c r="G72" s="109"/>
      <c r="H72" s="110"/>
      <c r="I72" s="110"/>
      <c r="J72" s="138">
        <f t="shared" ca="1" si="4"/>
        <v>45103</v>
      </c>
      <c r="K72" s="110"/>
      <c r="L72" s="111">
        <v>0</v>
      </c>
      <c r="M72" s="111">
        <v>0</v>
      </c>
      <c r="N72" s="111">
        <v>0</v>
      </c>
      <c r="O72" s="140" t="e" cm="1">
        <f t="array" aca="1" ref="O72" ca="1">_xlfn.IFS(K72="Pending",DAYS360(F72,J72),K72="Issued",DAYS360(F72,H72),K72="Withdrawn",DAYS360(F72,I72))</f>
        <v>#N/A</v>
      </c>
      <c r="P72" s="140" t="str">
        <f t="shared" si="5"/>
        <v>NA</v>
      </c>
      <c r="Q72" s="111"/>
      <c r="R72" s="112"/>
      <c r="S72" s="112"/>
      <c r="T72" s="112"/>
      <c r="U72" s="114"/>
    </row>
    <row r="73" spans="1:21" s="104" customFormat="1" ht="14" x14ac:dyDescent="0.15">
      <c r="A73" s="109"/>
      <c r="B73" s="109"/>
      <c r="C73" s="109"/>
      <c r="D73" s="109"/>
      <c r="E73" s="109"/>
      <c r="F73" s="110"/>
      <c r="G73" s="109"/>
      <c r="H73" s="110"/>
      <c r="I73" s="110"/>
      <c r="J73" s="138">
        <f t="shared" ca="1" si="4"/>
        <v>45103</v>
      </c>
      <c r="K73" s="110"/>
      <c r="L73" s="111">
        <v>0</v>
      </c>
      <c r="M73" s="111">
        <v>0</v>
      </c>
      <c r="N73" s="111">
        <v>0</v>
      </c>
      <c r="O73" s="140" t="e" cm="1">
        <f t="array" aca="1" ref="O73" ca="1">_xlfn.IFS(K73="Pending",DAYS360(F73,J73),K73="Issued",DAYS360(F73,H73),K73="Withdrawn",DAYS360(F73,I73))</f>
        <v>#N/A</v>
      </c>
      <c r="P73" s="140" t="str">
        <f t="shared" si="5"/>
        <v>NA</v>
      </c>
      <c r="Q73" s="111"/>
      <c r="R73" s="112"/>
      <c r="S73" s="112"/>
      <c r="T73" s="112"/>
      <c r="U73" s="114"/>
    </row>
    <row r="74" spans="1:21" s="104" customFormat="1" ht="14" x14ac:dyDescent="0.15">
      <c r="A74" s="109"/>
      <c r="B74" s="109"/>
      <c r="C74" s="109"/>
      <c r="D74" s="109"/>
      <c r="E74" s="109"/>
      <c r="F74" s="110"/>
      <c r="G74" s="109"/>
      <c r="H74" s="110"/>
      <c r="I74" s="110"/>
      <c r="J74" s="138">
        <f t="shared" ca="1" si="4"/>
        <v>45103</v>
      </c>
      <c r="K74" s="110"/>
      <c r="L74" s="111">
        <v>0</v>
      </c>
      <c r="M74" s="111">
        <v>0</v>
      </c>
      <c r="N74" s="111">
        <v>0</v>
      </c>
      <c r="O74" s="140" t="e" cm="1">
        <f t="array" aca="1" ref="O74" ca="1">_xlfn.IFS(K74="Pending",DAYS360(F74,J74),K74="Issued",DAYS360(F74,H74),K74="Withdrawn",DAYS360(F74,I74))</f>
        <v>#N/A</v>
      </c>
      <c r="P74" s="140" t="str">
        <f t="shared" si="5"/>
        <v>NA</v>
      </c>
      <c r="Q74" s="111"/>
      <c r="R74" s="112"/>
      <c r="S74" s="112"/>
      <c r="T74" s="112"/>
      <c r="U74" s="114"/>
    </row>
    <row r="75" spans="1:21" s="104" customFormat="1" ht="14" x14ac:dyDescent="0.15">
      <c r="A75" s="109"/>
      <c r="B75" s="109"/>
      <c r="C75" s="109"/>
      <c r="D75" s="109"/>
      <c r="E75" s="109"/>
      <c r="F75" s="110"/>
      <c r="G75" s="109"/>
      <c r="H75" s="110"/>
      <c r="I75" s="110"/>
      <c r="J75" s="138">
        <f t="shared" ca="1" si="4"/>
        <v>45103</v>
      </c>
      <c r="K75" s="110"/>
      <c r="L75" s="111">
        <v>0</v>
      </c>
      <c r="M75" s="111">
        <v>0</v>
      </c>
      <c r="N75" s="111">
        <v>0</v>
      </c>
      <c r="O75" s="140" t="e" cm="1">
        <f t="array" aca="1" ref="O75" ca="1">_xlfn.IFS(K75="Pending",DAYS360(F75,J75),K75="Issued",DAYS360(F75,H75),K75="Withdrawn",DAYS360(F75,I75))</f>
        <v>#N/A</v>
      </c>
      <c r="P75" s="140" t="str">
        <f t="shared" si="5"/>
        <v>NA</v>
      </c>
      <c r="Q75" s="111"/>
      <c r="R75" s="112"/>
      <c r="S75" s="112"/>
      <c r="T75" s="112"/>
      <c r="U75" s="114"/>
    </row>
    <row r="76" spans="1:21" s="104" customFormat="1" ht="14" x14ac:dyDescent="0.15">
      <c r="A76" s="109"/>
      <c r="B76" s="109"/>
      <c r="C76" s="109"/>
      <c r="D76" s="109"/>
      <c r="E76" s="109"/>
      <c r="F76" s="110"/>
      <c r="G76" s="109"/>
      <c r="H76" s="110"/>
      <c r="I76" s="110"/>
      <c r="J76" s="138">
        <f t="shared" ca="1" si="4"/>
        <v>45103</v>
      </c>
      <c r="K76" s="110"/>
      <c r="L76" s="111">
        <v>0</v>
      </c>
      <c r="M76" s="111">
        <v>0</v>
      </c>
      <c r="N76" s="111">
        <v>0</v>
      </c>
      <c r="O76" s="140" t="e" cm="1">
        <f t="array" aca="1" ref="O76" ca="1">_xlfn.IFS(K76="Pending",DAYS360(F76,J76),K76="Issued",DAYS360(F76,H76),K76="Withdrawn",DAYS360(F76,I76))</f>
        <v>#N/A</v>
      </c>
      <c r="P76" s="140" t="str">
        <f t="shared" si="5"/>
        <v>NA</v>
      </c>
      <c r="Q76" s="111"/>
      <c r="R76" s="112"/>
      <c r="S76" s="112"/>
      <c r="T76" s="112"/>
      <c r="U76" s="114"/>
    </row>
    <row r="77" spans="1:21" s="104" customFormat="1" ht="14" x14ac:dyDescent="0.15">
      <c r="A77" s="109"/>
      <c r="B77" s="109"/>
      <c r="C77" s="109"/>
      <c r="D77" s="109"/>
      <c r="E77" s="109"/>
      <c r="F77" s="110"/>
      <c r="G77" s="109"/>
      <c r="H77" s="110"/>
      <c r="I77" s="110"/>
      <c r="J77" s="138">
        <f t="shared" ca="1" si="4"/>
        <v>45103</v>
      </c>
      <c r="K77" s="110"/>
      <c r="L77" s="111">
        <v>0</v>
      </c>
      <c r="M77" s="111">
        <v>0</v>
      </c>
      <c r="N77" s="111">
        <v>0</v>
      </c>
      <c r="O77" s="140" t="e" cm="1">
        <f t="array" aca="1" ref="O77" ca="1">_xlfn.IFS(K77="Pending",DAYS360(F77,J77),K77="Issued",DAYS360(F77,H77),K77="Withdrawn",DAYS360(F77,I77))</f>
        <v>#N/A</v>
      </c>
      <c r="P77" s="140" t="str">
        <f t="shared" si="5"/>
        <v>NA</v>
      </c>
      <c r="Q77" s="111"/>
      <c r="R77" s="112"/>
      <c r="S77" s="112"/>
      <c r="T77" s="112"/>
      <c r="U77" s="114"/>
    </row>
    <row r="78" spans="1:21" s="104" customFormat="1" ht="14" x14ac:dyDescent="0.15">
      <c r="A78" s="109"/>
      <c r="B78" s="109"/>
      <c r="C78" s="109"/>
      <c r="D78" s="109"/>
      <c r="E78" s="109"/>
      <c r="F78" s="110"/>
      <c r="G78" s="109"/>
      <c r="H78" s="110"/>
      <c r="I78" s="110"/>
      <c r="J78" s="138">
        <f t="shared" ca="1" si="4"/>
        <v>45103</v>
      </c>
      <c r="K78" s="110"/>
      <c r="L78" s="111">
        <v>0</v>
      </c>
      <c r="M78" s="111">
        <v>0</v>
      </c>
      <c r="N78" s="111">
        <v>0</v>
      </c>
      <c r="O78" s="140" t="e" cm="1">
        <f t="array" aca="1" ref="O78" ca="1">_xlfn.IFS(K78="Pending",DAYS360(F78,J78),K78="Issued",DAYS360(F78,H78),K78="Withdrawn",DAYS360(F78,I78))</f>
        <v>#N/A</v>
      </c>
      <c r="P78" s="140" t="str">
        <f t="shared" si="5"/>
        <v>NA</v>
      </c>
      <c r="Q78" s="111"/>
      <c r="R78" s="112"/>
      <c r="S78" s="112"/>
      <c r="T78" s="112"/>
      <c r="U78" s="114"/>
    </row>
    <row r="79" spans="1:21" s="104" customFormat="1" ht="14" x14ac:dyDescent="0.15">
      <c r="A79" s="109"/>
      <c r="B79" s="109"/>
      <c r="C79" s="109"/>
      <c r="D79" s="109"/>
      <c r="E79" s="109"/>
      <c r="F79" s="110"/>
      <c r="G79" s="109"/>
      <c r="H79" s="110"/>
      <c r="I79" s="110"/>
      <c r="J79" s="138">
        <f t="shared" ca="1" si="4"/>
        <v>45103</v>
      </c>
      <c r="K79" s="110"/>
      <c r="L79" s="111">
        <v>0</v>
      </c>
      <c r="M79" s="111">
        <v>0</v>
      </c>
      <c r="N79" s="111">
        <v>0</v>
      </c>
      <c r="O79" s="140" t="e" cm="1">
        <f t="array" aca="1" ref="O79" ca="1">_xlfn.IFS(K79="Pending",DAYS360(F79,J79),K79="Issued",DAYS360(F79,H79),K79="Withdrawn",DAYS360(F79,I79))</f>
        <v>#N/A</v>
      </c>
      <c r="P79" s="140" t="str">
        <f t="shared" si="5"/>
        <v>NA</v>
      </c>
      <c r="Q79" s="111"/>
      <c r="R79" s="112"/>
      <c r="S79" s="112"/>
      <c r="T79" s="112"/>
      <c r="U79" s="114"/>
    </row>
    <row r="80" spans="1:21" s="104" customFormat="1" ht="14" x14ac:dyDescent="0.15">
      <c r="A80" s="109"/>
      <c r="B80" s="109"/>
      <c r="C80" s="109"/>
      <c r="D80" s="109"/>
      <c r="E80" s="109"/>
      <c r="F80" s="110"/>
      <c r="G80" s="109"/>
      <c r="H80" s="110"/>
      <c r="I80" s="110"/>
      <c r="J80" s="138">
        <f t="shared" ca="1" si="4"/>
        <v>45103</v>
      </c>
      <c r="K80" s="110"/>
      <c r="L80" s="111">
        <v>0</v>
      </c>
      <c r="M80" s="111">
        <v>0</v>
      </c>
      <c r="N80" s="111">
        <v>0</v>
      </c>
      <c r="O80" s="140" t="e" cm="1">
        <f t="array" aca="1" ref="O80" ca="1">_xlfn.IFS(K80="Pending",DAYS360(F80,J80),K80="Issued",DAYS360(F80,H80),K80="Withdrawn",DAYS360(F80,I80))</f>
        <v>#N/A</v>
      </c>
      <c r="P80" s="140" t="str">
        <f t="shared" si="5"/>
        <v>NA</v>
      </c>
      <c r="Q80" s="111"/>
      <c r="R80" s="112"/>
      <c r="S80" s="112"/>
      <c r="T80" s="112"/>
      <c r="U80" s="114"/>
    </row>
    <row r="81" spans="1:21" s="104" customFormat="1" ht="14" x14ac:dyDescent="0.15">
      <c r="A81" s="109"/>
      <c r="B81" s="109"/>
      <c r="C81" s="109"/>
      <c r="D81" s="109"/>
      <c r="E81" s="109"/>
      <c r="F81" s="110"/>
      <c r="G81" s="109"/>
      <c r="H81" s="110"/>
      <c r="I81" s="110"/>
      <c r="J81" s="138">
        <f t="shared" ca="1" si="4"/>
        <v>45103</v>
      </c>
      <c r="K81" s="110"/>
      <c r="L81" s="111">
        <v>0</v>
      </c>
      <c r="M81" s="111">
        <v>0</v>
      </c>
      <c r="N81" s="111">
        <v>0</v>
      </c>
      <c r="O81" s="140" t="e" cm="1">
        <f t="array" aca="1" ref="O81" ca="1">_xlfn.IFS(K81="Pending",DAYS360(F81,J81),K81="Issued",DAYS360(F81,H81),K81="Withdrawn",DAYS360(F81,I81))</f>
        <v>#N/A</v>
      </c>
      <c r="P81" s="140" t="str">
        <f t="shared" si="5"/>
        <v>NA</v>
      </c>
      <c r="Q81" s="111"/>
      <c r="R81" s="112"/>
      <c r="S81" s="112"/>
      <c r="T81" s="112"/>
      <c r="U81" s="114"/>
    </row>
    <row r="82" spans="1:21" s="104" customFormat="1" ht="14" x14ac:dyDescent="0.15">
      <c r="A82" s="109"/>
      <c r="B82" s="109"/>
      <c r="C82" s="109"/>
      <c r="D82" s="109"/>
      <c r="E82" s="109"/>
      <c r="F82" s="110"/>
      <c r="G82" s="109"/>
      <c r="H82" s="110"/>
      <c r="I82" s="110"/>
      <c r="J82" s="138">
        <f t="shared" ca="1" si="4"/>
        <v>45103</v>
      </c>
      <c r="K82" s="110"/>
      <c r="L82" s="111">
        <v>0</v>
      </c>
      <c r="M82" s="111">
        <v>0</v>
      </c>
      <c r="N82" s="111">
        <v>0</v>
      </c>
      <c r="O82" s="140" t="e" cm="1">
        <f t="array" aca="1" ref="O82" ca="1">_xlfn.IFS(K82="Pending",DAYS360(F82,J82),K82="Issued",DAYS360(F82,H82),K82="Withdrawn",DAYS360(F82,I82))</f>
        <v>#N/A</v>
      </c>
      <c r="P82" s="140" t="str">
        <f t="shared" si="5"/>
        <v>NA</v>
      </c>
      <c r="Q82" s="111"/>
      <c r="R82" s="112"/>
      <c r="S82" s="112"/>
      <c r="T82" s="112"/>
      <c r="U82" s="114"/>
    </row>
    <row r="83" spans="1:21" s="104" customFormat="1" ht="14" x14ac:dyDescent="0.15">
      <c r="A83" s="109"/>
      <c r="B83" s="109"/>
      <c r="C83" s="109"/>
      <c r="D83" s="109"/>
      <c r="E83" s="109"/>
      <c r="F83" s="110"/>
      <c r="G83" s="109"/>
      <c r="H83" s="110"/>
      <c r="I83" s="110"/>
      <c r="J83" s="138">
        <f t="shared" ca="1" si="4"/>
        <v>45103</v>
      </c>
      <c r="K83" s="110"/>
      <c r="L83" s="111">
        <v>0</v>
      </c>
      <c r="M83" s="111">
        <v>0</v>
      </c>
      <c r="N83" s="111">
        <v>0</v>
      </c>
      <c r="O83" s="140" t="e" cm="1">
        <f t="array" aca="1" ref="O83" ca="1">_xlfn.IFS(K83="Pending",DAYS360(F83,J83),K83="Issued",DAYS360(F83,H83),K83="Withdrawn",DAYS360(F83,I83))</f>
        <v>#N/A</v>
      </c>
      <c r="P83" s="140" t="str">
        <f t="shared" si="5"/>
        <v>NA</v>
      </c>
      <c r="Q83" s="111"/>
      <c r="R83" s="112"/>
      <c r="S83" s="112"/>
      <c r="T83" s="112"/>
      <c r="U83" s="114"/>
    </row>
    <row r="84" spans="1:21" s="104" customFormat="1" ht="14" x14ac:dyDescent="0.15">
      <c r="A84" s="109"/>
      <c r="B84" s="109"/>
      <c r="C84" s="109"/>
      <c r="D84" s="109"/>
      <c r="E84" s="109"/>
      <c r="F84" s="110"/>
      <c r="G84" s="109"/>
      <c r="H84" s="110"/>
      <c r="I84" s="110"/>
      <c r="J84" s="138">
        <f t="shared" ca="1" si="4"/>
        <v>45103</v>
      </c>
      <c r="K84" s="110"/>
      <c r="L84" s="111">
        <v>0</v>
      </c>
      <c r="M84" s="111">
        <v>0</v>
      </c>
      <c r="N84" s="111">
        <v>0</v>
      </c>
      <c r="O84" s="140" t="e" cm="1">
        <f t="array" aca="1" ref="O84" ca="1">_xlfn.IFS(K84="Pending",DAYS360(F84,J84),K84="Issued",DAYS360(F84,H84),K84="Withdrawn",DAYS360(F84,I84))</f>
        <v>#N/A</v>
      </c>
      <c r="P84" s="140" t="str">
        <f t="shared" si="5"/>
        <v>NA</v>
      </c>
      <c r="Q84" s="111"/>
      <c r="R84" s="112"/>
      <c r="S84" s="112"/>
      <c r="T84" s="112"/>
      <c r="U84" s="114"/>
    </row>
    <row r="85" spans="1:21" s="104" customFormat="1" ht="14" x14ac:dyDescent="0.15">
      <c r="A85" s="109"/>
      <c r="B85" s="109"/>
      <c r="C85" s="109"/>
      <c r="D85" s="109"/>
      <c r="E85" s="109"/>
      <c r="F85" s="110"/>
      <c r="G85" s="109"/>
      <c r="H85" s="110"/>
      <c r="I85" s="110"/>
      <c r="J85" s="138">
        <f t="shared" ca="1" si="4"/>
        <v>45103</v>
      </c>
      <c r="K85" s="110"/>
      <c r="L85" s="111">
        <v>0</v>
      </c>
      <c r="M85" s="111">
        <v>0</v>
      </c>
      <c r="N85" s="111">
        <v>0</v>
      </c>
      <c r="O85" s="140" t="e" cm="1">
        <f t="array" aca="1" ref="O85" ca="1">_xlfn.IFS(K85="Pending",DAYS360(F85,J85),K85="Issued",DAYS360(F85,H85),K85="Withdrawn",DAYS360(F85,I85))</f>
        <v>#N/A</v>
      </c>
      <c r="P85" s="140" t="str">
        <f t="shared" si="5"/>
        <v>NA</v>
      </c>
      <c r="Q85" s="111"/>
      <c r="R85" s="112"/>
      <c r="S85" s="112"/>
      <c r="T85" s="112"/>
      <c r="U85" s="114"/>
    </row>
    <row r="86" spans="1:21" s="104" customFormat="1" ht="14" x14ac:dyDescent="0.15">
      <c r="A86" s="109"/>
      <c r="B86" s="109"/>
      <c r="C86" s="109"/>
      <c r="D86" s="109"/>
      <c r="E86" s="109"/>
      <c r="F86" s="110"/>
      <c r="G86" s="109"/>
      <c r="H86" s="110"/>
      <c r="I86" s="110"/>
      <c r="J86" s="138">
        <f t="shared" ca="1" si="4"/>
        <v>45103</v>
      </c>
      <c r="K86" s="110"/>
      <c r="L86" s="111">
        <v>0</v>
      </c>
      <c r="M86" s="111">
        <v>0</v>
      </c>
      <c r="N86" s="111">
        <v>0</v>
      </c>
      <c r="O86" s="140" t="e" cm="1">
        <f t="array" aca="1" ref="O86" ca="1">_xlfn.IFS(K86="Pending",DAYS360(F86,J86),K86="Issued",DAYS360(F86,H86),K86="Withdrawn",DAYS360(F86,I86))</f>
        <v>#N/A</v>
      </c>
      <c r="P86" s="140" t="str">
        <f t="shared" si="5"/>
        <v>NA</v>
      </c>
      <c r="Q86" s="111"/>
      <c r="R86" s="112"/>
      <c r="S86" s="112"/>
      <c r="T86" s="112"/>
      <c r="U86" s="114"/>
    </row>
    <row r="87" spans="1:21" s="104" customFormat="1" ht="14" x14ac:dyDescent="0.15">
      <c r="A87" s="109"/>
      <c r="B87" s="109"/>
      <c r="C87" s="109"/>
      <c r="D87" s="109"/>
      <c r="E87" s="109"/>
      <c r="F87" s="110"/>
      <c r="G87" s="109"/>
      <c r="H87" s="110"/>
      <c r="I87" s="110"/>
      <c r="J87" s="138">
        <f t="shared" ca="1" si="4"/>
        <v>45103</v>
      </c>
      <c r="K87" s="110"/>
      <c r="L87" s="111">
        <v>0</v>
      </c>
      <c r="M87" s="111">
        <v>0</v>
      </c>
      <c r="N87" s="111">
        <v>0</v>
      </c>
      <c r="O87" s="140" t="e" cm="1">
        <f t="array" aca="1" ref="O87" ca="1">_xlfn.IFS(K87="Pending",DAYS360(F87,J87),K87="Issued",DAYS360(F87,H87),K87="Withdrawn",DAYS360(F87,I87))</f>
        <v>#N/A</v>
      </c>
      <c r="P87" s="140" t="str">
        <f t="shared" si="5"/>
        <v>NA</v>
      </c>
      <c r="Q87" s="111"/>
      <c r="R87" s="112"/>
      <c r="S87" s="112"/>
      <c r="T87" s="112"/>
      <c r="U87" s="114"/>
    </row>
    <row r="88" spans="1:21" s="104" customFormat="1" ht="14" x14ac:dyDescent="0.15">
      <c r="A88" s="109"/>
      <c r="B88" s="109"/>
      <c r="C88" s="109"/>
      <c r="D88" s="109"/>
      <c r="E88" s="109"/>
      <c r="F88" s="110"/>
      <c r="G88" s="109"/>
      <c r="H88" s="110"/>
      <c r="I88" s="110"/>
      <c r="J88" s="138">
        <f t="shared" ca="1" si="4"/>
        <v>45103</v>
      </c>
      <c r="K88" s="110"/>
      <c r="L88" s="111">
        <v>0</v>
      </c>
      <c r="M88" s="111">
        <v>0</v>
      </c>
      <c r="N88" s="111">
        <v>0</v>
      </c>
      <c r="O88" s="140" t="e" cm="1">
        <f t="array" aca="1" ref="O88" ca="1">_xlfn.IFS(K88="Pending",DAYS360(F88,J88),K88="Issued",DAYS360(F88,H88),K88="Withdrawn",DAYS360(F88,I88))</f>
        <v>#N/A</v>
      </c>
      <c r="P88" s="140" t="str">
        <f t="shared" si="5"/>
        <v>NA</v>
      </c>
      <c r="Q88" s="111"/>
      <c r="R88" s="112"/>
      <c r="S88" s="112"/>
      <c r="T88" s="112"/>
      <c r="U88" s="114"/>
    </row>
    <row r="89" spans="1:21" s="104" customFormat="1" ht="14" x14ac:dyDescent="0.15">
      <c r="A89" s="109"/>
      <c r="B89" s="109"/>
      <c r="C89" s="109"/>
      <c r="D89" s="109"/>
      <c r="E89" s="109"/>
      <c r="F89" s="110"/>
      <c r="G89" s="109"/>
      <c r="H89" s="110"/>
      <c r="I89" s="110"/>
      <c r="J89" s="138">
        <f t="shared" ca="1" si="4"/>
        <v>45103</v>
      </c>
      <c r="K89" s="110"/>
      <c r="L89" s="111">
        <v>0</v>
      </c>
      <c r="M89" s="111">
        <v>0</v>
      </c>
      <c r="N89" s="111">
        <v>0</v>
      </c>
      <c r="O89" s="140" t="e" cm="1">
        <f t="array" aca="1" ref="O89" ca="1">_xlfn.IFS(K89="Pending",DAYS360(F89,J89),K89="Issued",DAYS360(F89,H89),K89="Withdrawn",DAYS360(F89,I89))</f>
        <v>#N/A</v>
      </c>
      <c r="P89" s="140" t="str">
        <f t="shared" si="5"/>
        <v>NA</v>
      </c>
      <c r="Q89" s="111"/>
      <c r="R89" s="112"/>
      <c r="S89" s="112"/>
      <c r="T89" s="112"/>
      <c r="U89" s="114"/>
    </row>
    <row r="90" spans="1:21" s="104" customFormat="1" ht="14" x14ac:dyDescent="0.15">
      <c r="A90" s="109"/>
      <c r="B90" s="109"/>
      <c r="C90" s="109"/>
      <c r="D90" s="109"/>
      <c r="E90" s="109"/>
      <c r="F90" s="110"/>
      <c r="G90" s="109"/>
      <c r="H90" s="110"/>
      <c r="I90" s="110"/>
      <c r="J90" s="138">
        <f t="shared" ca="1" si="4"/>
        <v>45103</v>
      </c>
      <c r="K90" s="110"/>
      <c r="L90" s="111">
        <v>0</v>
      </c>
      <c r="M90" s="111">
        <v>0</v>
      </c>
      <c r="N90" s="111">
        <v>0</v>
      </c>
      <c r="O90" s="140" t="e" cm="1">
        <f t="array" aca="1" ref="O90" ca="1">_xlfn.IFS(K90="Pending",DAYS360(F90,J90),K90="Issued",DAYS360(F90,H90),K90="Withdrawn",DAYS360(F90,I90))</f>
        <v>#N/A</v>
      </c>
      <c r="P90" s="140" t="str">
        <f t="shared" si="5"/>
        <v>NA</v>
      </c>
      <c r="Q90" s="111"/>
      <c r="R90" s="112"/>
      <c r="S90" s="112"/>
      <c r="T90" s="112"/>
      <c r="U90" s="114"/>
    </row>
    <row r="91" spans="1:21" s="104" customFormat="1" ht="14" x14ac:dyDescent="0.15">
      <c r="A91" s="109"/>
      <c r="B91" s="109"/>
      <c r="C91" s="109"/>
      <c r="D91" s="109"/>
      <c r="E91" s="109"/>
      <c r="F91" s="110"/>
      <c r="G91" s="109"/>
      <c r="H91" s="110"/>
      <c r="I91" s="110"/>
      <c r="J91" s="138">
        <f t="shared" ca="1" si="4"/>
        <v>45103</v>
      </c>
      <c r="K91" s="110"/>
      <c r="L91" s="111">
        <v>0</v>
      </c>
      <c r="M91" s="111">
        <v>0</v>
      </c>
      <c r="N91" s="111">
        <v>0</v>
      </c>
      <c r="O91" s="140" t="e" cm="1">
        <f t="array" aca="1" ref="O91" ca="1">_xlfn.IFS(K91="Pending",DAYS360(F91,J91),K91="Issued",DAYS360(F91,H91),K91="Withdrawn",DAYS360(F91,I91))</f>
        <v>#N/A</v>
      </c>
      <c r="P91" s="140" t="str">
        <f t="shared" si="5"/>
        <v>NA</v>
      </c>
      <c r="Q91" s="111"/>
      <c r="R91" s="112"/>
      <c r="S91" s="112"/>
      <c r="T91" s="112"/>
      <c r="U91" s="114"/>
    </row>
    <row r="92" spans="1:21" s="104" customFormat="1" ht="14" x14ac:dyDescent="0.15">
      <c r="A92" s="109"/>
      <c r="B92" s="109"/>
      <c r="C92" s="109"/>
      <c r="D92" s="109"/>
      <c r="E92" s="109"/>
      <c r="F92" s="110"/>
      <c r="G92" s="109"/>
      <c r="H92" s="110"/>
      <c r="I92" s="110"/>
      <c r="J92" s="138">
        <f t="shared" ca="1" si="4"/>
        <v>45103</v>
      </c>
      <c r="K92" s="110"/>
      <c r="L92" s="111">
        <v>0</v>
      </c>
      <c r="M92" s="111">
        <v>0</v>
      </c>
      <c r="N92" s="111">
        <v>0</v>
      </c>
      <c r="O92" s="140" t="e" cm="1">
        <f t="array" aca="1" ref="O92" ca="1">_xlfn.IFS(K92="Pending",DAYS360(F92,J92),K92="Issued",DAYS360(F92,H92),K92="Withdrawn",DAYS360(F92,I92))</f>
        <v>#N/A</v>
      </c>
      <c r="P92" s="140" t="str">
        <f t="shared" si="5"/>
        <v>NA</v>
      </c>
      <c r="Q92" s="111"/>
      <c r="R92" s="112"/>
      <c r="S92" s="112"/>
      <c r="T92" s="112"/>
      <c r="U92" s="114"/>
    </row>
    <row r="93" spans="1:21" s="104" customFormat="1" ht="14" x14ac:dyDescent="0.15">
      <c r="A93" s="109"/>
      <c r="B93" s="109"/>
      <c r="C93" s="109"/>
      <c r="D93" s="109"/>
      <c r="E93" s="109"/>
      <c r="F93" s="110"/>
      <c r="G93" s="109"/>
      <c r="H93" s="110"/>
      <c r="I93" s="110"/>
      <c r="J93" s="138">
        <f t="shared" ca="1" si="4"/>
        <v>45103</v>
      </c>
      <c r="K93" s="110"/>
      <c r="L93" s="111">
        <v>0</v>
      </c>
      <c r="M93" s="111">
        <v>0</v>
      </c>
      <c r="N93" s="111">
        <v>0</v>
      </c>
      <c r="O93" s="140" t="e" cm="1">
        <f t="array" aca="1" ref="O93" ca="1">_xlfn.IFS(K93="Pending",DAYS360(F93,J93),K93="Issued",DAYS360(F93,H93),K93="Withdrawn",DAYS360(F93,I93))</f>
        <v>#N/A</v>
      </c>
      <c r="P93" s="140" t="str">
        <f t="shared" si="5"/>
        <v>NA</v>
      </c>
      <c r="Q93" s="111"/>
      <c r="R93" s="112"/>
      <c r="S93" s="112"/>
      <c r="T93" s="112"/>
      <c r="U93" s="114"/>
    </row>
    <row r="94" spans="1:21" s="104" customFormat="1" ht="14" x14ac:dyDescent="0.15">
      <c r="A94" s="109"/>
      <c r="B94" s="109"/>
      <c r="C94" s="109"/>
      <c r="D94" s="109"/>
      <c r="E94" s="109"/>
      <c r="F94" s="110"/>
      <c r="G94" s="109"/>
      <c r="H94" s="110"/>
      <c r="I94" s="110"/>
      <c r="J94" s="138">
        <f t="shared" ca="1" si="4"/>
        <v>45103</v>
      </c>
      <c r="K94" s="110"/>
      <c r="L94" s="111">
        <v>0</v>
      </c>
      <c r="M94" s="111">
        <v>0</v>
      </c>
      <c r="N94" s="111">
        <v>0</v>
      </c>
      <c r="O94" s="140" t="e" cm="1">
        <f t="array" aca="1" ref="O94" ca="1">_xlfn.IFS(K94="Pending",DAYS360(F94,J94),K94="Issued",DAYS360(F94,H94),K94="Withdrawn",DAYS360(F94,I94))</f>
        <v>#N/A</v>
      </c>
      <c r="P94" s="140" t="str">
        <f t="shared" si="5"/>
        <v>NA</v>
      </c>
      <c r="Q94" s="111"/>
      <c r="R94" s="112"/>
      <c r="S94" s="112"/>
      <c r="T94" s="112"/>
      <c r="U94" s="114"/>
    </row>
    <row r="95" spans="1:21" s="104" customFormat="1" ht="14" x14ac:dyDescent="0.15">
      <c r="A95" s="109"/>
      <c r="B95" s="109"/>
      <c r="C95" s="109"/>
      <c r="D95" s="109"/>
      <c r="E95" s="109"/>
      <c r="F95" s="110"/>
      <c r="G95" s="109"/>
      <c r="H95" s="110"/>
      <c r="I95" s="110"/>
      <c r="J95" s="138">
        <f t="shared" ca="1" si="4"/>
        <v>45103</v>
      </c>
      <c r="K95" s="110"/>
      <c r="L95" s="111">
        <v>0</v>
      </c>
      <c r="M95" s="111">
        <v>0</v>
      </c>
      <c r="N95" s="111">
        <v>0</v>
      </c>
      <c r="O95" s="140" t="e" cm="1">
        <f t="array" aca="1" ref="O95" ca="1">_xlfn.IFS(K95="Pending",DAYS360(F95,J95),K95="Issued",DAYS360(F95,H95),K95="Withdrawn",DAYS360(F95,I95))</f>
        <v>#N/A</v>
      </c>
      <c r="P95" s="140" t="str">
        <f t="shared" si="5"/>
        <v>NA</v>
      </c>
      <c r="Q95" s="111"/>
      <c r="R95" s="112"/>
      <c r="S95" s="112"/>
      <c r="T95" s="112"/>
      <c r="U95" s="114"/>
    </row>
    <row r="96" spans="1:21" s="104" customFormat="1" ht="14" x14ac:dyDescent="0.15">
      <c r="A96" s="109"/>
      <c r="B96" s="109"/>
      <c r="C96" s="109"/>
      <c r="D96" s="109"/>
      <c r="E96" s="109"/>
      <c r="F96" s="110"/>
      <c r="G96" s="109"/>
      <c r="H96" s="110"/>
      <c r="I96" s="110"/>
      <c r="J96" s="138">
        <f t="shared" ca="1" si="4"/>
        <v>45103</v>
      </c>
      <c r="K96" s="110"/>
      <c r="L96" s="111">
        <v>0</v>
      </c>
      <c r="M96" s="111">
        <v>0</v>
      </c>
      <c r="N96" s="111">
        <v>0</v>
      </c>
      <c r="O96" s="140" t="e" cm="1">
        <f t="array" aca="1" ref="O96" ca="1">_xlfn.IFS(K96="Pending",DAYS360(F96,J96),K96="Issued",DAYS360(F96,H96),K96="Withdrawn",DAYS360(F96,I96))</f>
        <v>#N/A</v>
      </c>
      <c r="P96" s="140" t="str">
        <f t="shared" si="5"/>
        <v>NA</v>
      </c>
      <c r="Q96" s="111"/>
      <c r="R96" s="112"/>
      <c r="S96" s="112"/>
      <c r="T96" s="112"/>
      <c r="U96" s="114"/>
    </row>
    <row r="97" spans="1:21" s="104" customFormat="1" ht="14" x14ac:dyDescent="0.15">
      <c r="A97" s="109"/>
      <c r="B97" s="109"/>
      <c r="C97" s="109"/>
      <c r="D97" s="109"/>
      <c r="E97" s="109"/>
      <c r="F97" s="110"/>
      <c r="G97" s="109"/>
      <c r="H97" s="110"/>
      <c r="I97" s="110"/>
      <c r="J97" s="138">
        <f t="shared" ca="1" si="4"/>
        <v>45103</v>
      </c>
      <c r="K97" s="110"/>
      <c r="L97" s="111">
        <v>0</v>
      </c>
      <c r="M97" s="111">
        <v>0</v>
      </c>
      <c r="N97" s="111">
        <v>0</v>
      </c>
      <c r="O97" s="140" t="e" cm="1">
        <f t="array" aca="1" ref="O97" ca="1">_xlfn.IFS(K97="Pending",DAYS360(F97,J97),K97="Issued",DAYS360(F97,H97),K97="Withdrawn",DAYS360(F97,I97))</f>
        <v>#N/A</v>
      </c>
      <c r="P97" s="140" t="str">
        <f t="shared" si="5"/>
        <v>NA</v>
      </c>
      <c r="Q97" s="111"/>
      <c r="R97" s="112"/>
      <c r="S97" s="112"/>
      <c r="T97" s="112"/>
      <c r="U97" s="114"/>
    </row>
    <row r="98" spans="1:21" s="104" customFormat="1" ht="14" x14ac:dyDescent="0.15">
      <c r="A98" s="109"/>
      <c r="B98" s="109"/>
      <c r="C98" s="109"/>
      <c r="D98" s="109"/>
      <c r="E98" s="109"/>
      <c r="F98" s="110"/>
      <c r="G98" s="109"/>
      <c r="H98" s="110"/>
      <c r="I98" s="110"/>
      <c r="J98" s="138">
        <f t="shared" ca="1" si="4"/>
        <v>45103</v>
      </c>
      <c r="K98" s="110"/>
      <c r="L98" s="111">
        <v>0</v>
      </c>
      <c r="M98" s="111">
        <v>0</v>
      </c>
      <c r="N98" s="111">
        <v>0</v>
      </c>
      <c r="O98" s="140" t="e" cm="1">
        <f t="array" aca="1" ref="O98" ca="1">_xlfn.IFS(K98="Pending",DAYS360(F98,J98),K98="Issued",DAYS360(F98,H98),K98="Withdrawn",DAYS360(F98,I98))</f>
        <v>#N/A</v>
      </c>
      <c r="P98" s="140" t="str">
        <f t="shared" si="5"/>
        <v>NA</v>
      </c>
      <c r="Q98" s="111"/>
      <c r="R98" s="112"/>
      <c r="S98" s="112"/>
      <c r="T98" s="112"/>
      <c r="U98" s="114"/>
    </row>
    <row r="99" spans="1:21" s="104" customFormat="1" ht="14" x14ac:dyDescent="0.15">
      <c r="A99" s="109"/>
      <c r="B99" s="109"/>
      <c r="C99" s="109"/>
      <c r="D99" s="109"/>
      <c r="E99" s="109"/>
      <c r="F99" s="110"/>
      <c r="G99" s="109"/>
      <c r="H99" s="110"/>
      <c r="I99" s="110"/>
      <c r="J99" s="138">
        <f t="shared" ref="J99:J130" ca="1" si="6">TODAY()</f>
        <v>45103</v>
      </c>
      <c r="K99" s="110"/>
      <c r="L99" s="111">
        <v>0</v>
      </c>
      <c r="M99" s="111">
        <v>0</v>
      </c>
      <c r="N99" s="111">
        <v>0</v>
      </c>
      <c r="O99" s="140" t="e" cm="1">
        <f t="array" aca="1" ref="O99" ca="1">_xlfn.IFS(K99="Pending",DAYS360(F99,J99),K99="Issued",DAYS360(F99,H99),K99="Withdrawn",DAYS360(F99,I99))</f>
        <v>#N/A</v>
      </c>
      <c r="P99" s="140" t="str">
        <f t="shared" ref="P99:P130" si="7">IF(K99="Issued",DAYS360(F99,H99),"NA")</f>
        <v>NA</v>
      </c>
      <c r="Q99" s="111"/>
      <c r="R99" s="112"/>
      <c r="S99" s="112"/>
      <c r="T99" s="112"/>
      <c r="U99" s="114"/>
    </row>
    <row r="100" spans="1:21" s="104" customFormat="1" ht="14" x14ac:dyDescent="0.15">
      <c r="A100" s="109"/>
      <c r="B100" s="109"/>
      <c r="C100" s="109"/>
      <c r="D100" s="109"/>
      <c r="E100" s="109"/>
      <c r="F100" s="110"/>
      <c r="G100" s="109"/>
      <c r="H100" s="110"/>
      <c r="I100" s="110"/>
      <c r="J100" s="138">
        <f t="shared" ca="1" si="6"/>
        <v>45103</v>
      </c>
      <c r="K100" s="110"/>
      <c r="L100" s="111">
        <v>0</v>
      </c>
      <c r="M100" s="111">
        <v>0</v>
      </c>
      <c r="N100" s="111">
        <v>0</v>
      </c>
      <c r="O100" s="140" t="e" cm="1">
        <f t="array" aca="1" ref="O100" ca="1">_xlfn.IFS(K100="Pending",DAYS360(F100,J100),K100="Issued",DAYS360(F100,H100),K100="Withdrawn",DAYS360(F100,I100))</f>
        <v>#N/A</v>
      </c>
      <c r="P100" s="140" t="str">
        <f t="shared" si="7"/>
        <v>NA</v>
      </c>
      <c r="Q100" s="111"/>
      <c r="R100" s="112"/>
      <c r="S100" s="112"/>
      <c r="T100" s="112"/>
      <c r="U100" s="114"/>
    </row>
    <row r="101" spans="1:21" s="104" customFormat="1" ht="14" x14ac:dyDescent="0.15">
      <c r="A101" s="118"/>
      <c r="B101" s="109"/>
      <c r="C101" s="109"/>
      <c r="D101" s="118"/>
      <c r="E101" s="118"/>
      <c r="F101" s="119"/>
      <c r="G101" s="118"/>
      <c r="H101" s="110"/>
      <c r="I101" s="110"/>
      <c r="J101" s="139">
        <f t="shared" ca="1" si="6"/>
        <v>45103</v>
      </c>
      <c r="K101" s="110"/>
      <c r="L101" s="111">
        <v>0</v>
      </c>
      <c r="M101" s="111">
        <v>0</v>
      </c>
      <c r="N101" s="111">
        <v>0</v>
      </c>
      <c r="O101" s="140" t="e" cm="1">
        <f t="array" aca="1" ref="O101" ca="1">_xlfn.IFS(K101="Pending",DAYS360(F101,J101),K101="Issued",DAYS360(F101,H101),K101="Withdrawn",DAYS360(F101,I101))</f>
        <v>#N/A</v>
      </c>
      <c r="P101" s="140" t="str">
        <f t="shared" si="7"/>
        <v>NA</v>
      </c>
      <c r="Q101" s="111"/>
      <c r="R101" s="112"/>
      <c r="S101" s="112"/>
      <c r="T101" s="112"/>
      <c r="U101" s="114"/>
    </row>
    <row r="102" spans="1:21" s="104" customFormat="1" ht="14" x14ac:dyDescent="0.15">
      <c r="A102" s="118"/>
      <c r="B102" s="109"/>
      <c r="C102" s="109"/>
      <c r="D102" s="118"/>
      <c r="E102" s="118"/>
      <c r="F102" s="119"/>
      <c r="G102" s="118"/>
      <c r="H102" s="110"/>
      <c r="I102" s="110"/>
      <c r="J102" s="139">
        <f t="shared" ca="1" si="6"/>
        <v>45103</v>
      </c>
      <c r="K102" s="110"/>
      <c r="L102" s="111">
        <v>0</v>
      </c>
      <c r="M102" s="111">
        <v>0</v>
      </c>
      <c r="N102" s="111">
        <v>0</v>
      </c>
      <c r="O102" s="140" t="e" cm="1">
        <f t="array" aca="1" ref="O102" ca="1">_xlfn.IFS(K102="Pending",DAYS360(F102,J102),K102="Issued",DAYS360(F102,H102),K102="Withdrawn",DAYS360(F102,I102))</f>
        <v>#N/A</v>
      </c>
      <c r="P102" s="140" t="str">
        <f t="shared" si="7"/>
        <v>NA</v>
      </c>
      <c r="Q102" s="111"/>
      <c r="R102" s="112"/>
      <c r="S102" s="112"/>
      <c r="T102" s="112"/>
      <c r="U102" s="114"/>
    </row>
    <row r="103" spans="1:21" s="104" customFormat="1" ht="14" x14ac:dyDescent="0.15">
      <c r="A103" s="118"/>
      <c r="B103" s="109"/>
      <c r="C103" s="109"/>
      <c r="D103" s="118"/>
      <c r="E103" s="118"/>
      <c r="F103" s="119"/>
      <c r="G103" s="118"/>
      <c r="H103" s="110"/>
      <c r="I103" s="110"/>
      <c r="J103" s="139">
        <f t="shared" ca="1" si="6"/>
        <v>45103</v>
      </c>
      <c r="K103" s="110"/>
      <c r="L103" s="111">
        <v>0</v>
      </c>
      <c r="M103" s="111">
        <v>0</v>
      </c>
      <c r="N103" s="111">
        <v>0</v>
      </c>
      <c r="O103" s="140" t="e" cm="1">
        <f t="array" aca="1" ref="O103" ca="1">_xlfn.IFS(K103="Pending",DAYS360(F103,J103),K103="Issued",DAYS360(F103,H103),K103="Withdrawn",DAYS360(F103,I103))</f>
        <v>#N/A</v>
      </c>
      <c r="P103" s="140" t="str">
        <f t="shared" si="7"/>
        <v>NA</v>
      </c>
      <c r="Q103" s="111"/>
      <c r="R103" s="112"/>
      <c r="S103" s="112"/>
      <c r="T103" s="112"/>
      <c r="U103" s="114"/>
    </row>
    <row r="104" spans="1:21" s="104" customFormat="1" ht="14" x14ac:dyDescent="0.15">
      <c r="A104" s="118"/>
      <c r="B104" s="109"/>
      <c r="C104" s="109"/>
      <c r="D104" s="118"/>
      <c r="E104" s="118"/>
      <c r="F104" s="119"/>
      <c r="G104" s="118"/>
      <c r="H104" s="110"/>
      <c r="I104" s="110"/>
      <c r="J104" s="139">
        <f t="shared" ca="1" si="6"/>
        <v>45103</v>
      </c>
      <c r="K104" s="110"/>
      <c r="L104" s="111">
        <v>0</v>
      </c>
      <c r="M104" s="111">
        <v>0</v>
      </c>
      <c r="N104" s="111">
        <v>0</v>
      </c>
      <c r="O104" s="140" t="e" cm="1">
        <f t="array" aca="1" ref="O104" ca="1">_xlfn.IFS(K104="Pending",DAYS360(F104,J104),K104="Issued",DAYS360(F104,H104),K104="Withdrawn",DAYS360(F104,I104))</f>
        <v>#N/A</v>
      </c>
      <c r="P104" s="140" t="str">
        <f t="shared" si="7"/>
        <v>NA</v>
      </c>
      <c r="Q104" s="111"/>
      <c r="R104" s="112"/>
      <c r="S104" s="112"/>
      <c r="T104" s="112"/>
      <c r="U104" s="114"/>
    </row>
    <row r="105" spans="1:21" s="104" customFormat="1" ht="14" x14ac:dyDescent="0.15">
      <c r="A105" s="118"/>
      <c r="B105" s="109"/>
      <c r="C105" s="109"/>
      <c r="D105" s="118"/>
      <c r="E105" s="118"/>
      <c r="F105" s="119"/>
      <c r="G105" s="118"/>
      <c r="H105" s="110"/>
      <c r="I105" s="110"/>
      <c r="J105" s="139">
        <f t="shared" ca="1" si="6"/>
        <v>45103</v>
      </c>
      <c r="K105" s="110"/>
      <c r="L105" s="111">
        <v>0</v>
      </c>
      <c r="M105" s="111">
        <v>0</v>
      </c>
      <c r="N105" s="111">
        <v>0</v>
      </c>
      <c r="O105" s="140" t="e" cm="1">
        <f t="array" aca="1" ref="O105" ca="1">_xlfn.IFS(K105="Pending",DAYS360(F105,J105),K105="Issued",DAYS360(F105,H105),K105="Withdrawn",DAYS360(F105,I105))</f>
        <v>#N/A</v>
      </c>
      <c r="P105" s="140" t="str">
        <f t="shared" si="7"/>
        <v>NA</v>
      </c>
      <c r="Q105" s="111"/>
      <c r="R105" s="112"/>
      <c r="S105" s="112"/>
      <c r="T105" s="112"/>
      <c r="U105" s="114"/>
    </row>
    <row r="106" spans="1:21" s="104" customFormat="1" ht="14" x14ac:dyDescent="0.15">
      <c r="A106" s="118"/>
      <c r="B106" s="109"/>
      <c r="C106" s="109"/>
      <c r="D106" s="118"/>
      <c r="E106" s="118"/>
      <c r="F106" s="119"/>
      <c r="G106" s="118"/>
      <c r="H106" s="110"/>
      <c r="I106" s="110"/>
      <c r="J106" s="139">
        <f t="shared" ca="1" si="6"/>
        <v>45103</v>
      </c>
      <c r="K106" s="110"/>
      <c r="L106" s="111">
        <v>0</v>
      </c>
      <c r="M106" s="111">
        <v>0</v>
      </c>
      <c r="N106" s="111">
        <v>0</v>
      </c>
      <c r="O106" s="140" t="e" cm="1">
        <f t="array" aca="1" ref="O106" ca="1">_xlfn.IFS(K106="Pending",DAYS360(F106,J106),K106="Issued",DAYS360(F106,H106),K106="Withdrawn",DAYS360(F106,I106))</f>
        <v>#N/A</v>
      </c>
      <c r="P106" s="140" t="str">
        <f t="shared" si="7"/>
        <v>NA</v>
      </c>
      <c r="Q106" s="111"/>
      <c r="R106" s="112"/>
      <c r="S106" s="112"/>
      <c r="T106" s="112"/>
      <c r="U106" s="114"/>
    </row>
    <row r="107" spans="1:21" s="104" customFormat="1" ht="14" x14ac:dyDescent="0.15">
      <c r="A107" s="118"/>
      <c r="B107" s="109"/>
      <c r="C107" s="109"/>
      <c r="D107" s="118"/>
      <c r="E107" s="118"/>
      <c r="F107" s="119"/>
      <c r="G107" s="118"/>
      <c r="H107" s="110"/>
      <c r="I107" s="110"/>
      <c r="J107" s="139">
        <f t="shared" ca="1" si="6"/>
        <v>45103</v>
      </c>
      <c r="K107" s="110"/>
      <c r="L107" s="111">
        <v>0</v>
      </c>
      <c r="M107" s="111">
        <v>0</v>
      </c>
      <c r="N107" s="111">
        <v>0</v>
      </c>
      <c r="O107" s="140" t="e" cm="1">
        <f t="array" aca="1" ref="O107" ca="1">_xlfn.IFS(K107="Pending",DAYS360(F107,J107),K107="Issued",DAYS360(F107,H107),K107="Withdrawn",DAYS360(F107,I107))</f>
        <v>#N/A</v>
      </c>
      <c r="P107" s="140" t="str">
        <f t="shared" si="7"/>
        <v>NA</v>
      </c>
      <c r="Q107" s="111"/>
      <c r="R107" s="112"/>
      <c r="S107" s="112"/>
      <c r="T107" s="112"/>
      <c r="U107" s="114"/>
    </row>
    <row r="108" spans="1:21" s="104" customFormat="1" ht="14" x14ac:dyDescent="0.15">
      <c r="A108" s="118"/>
      <c r="B108" s="109"/>
      <c r="C108" s="109"/>
      <c r="D108" s="118"/>
      <c r="E108" s="118"/>
      <c r="F108" s="119"/>
      <c r="G108" s="118"/>
      <c r="H108" s="110"/>
      <c r="I108" s="110"/>
      <c r="J108" s="139">
        <f t="shared" ca="1" si="6"/>
        <v>45103</v>
      </c>
      <c r="K108" s="110"/>
      <c r="L108" s="111">
        <v>0</v>
      </c>
      <c r="M108" s="111">
        <v>0</v>
      </c>
      <c r="N108" s="111">
        <v>0</v>
      </c>
      <c r="O108" s="140" t="e" cm="1">
        <f t="array" aca="1" ref="O108" ca="1">_xlfn.IFS(K108="Pending",DAYS360(F108,J108),K108="Issued",DAYS360(F108,H108),K108="Withdrawn",DAYS360(F108,I108))</f>
        <v>#N/A</v>
      </c>
      <c r="P108" s="140" t="str">
        <f t="shared" si="7"/>
        <v>NA</v>
      </c>
      <c r="Q108" s="111"/>
      <c r="R108" s="112"/>
      <c r="S108" s="112"/>
      <c r="T108" s="112"/>
      <c r="U108" s="114"/>
    </row>
    <row r="109" spans="1:21" s="104" customFormat="1" ht="14" x14ac:dyDescent="0.15">
      <c r="A109" s="118"/>
      <c r="B109" s="109"/>
      <c r="C109" s="109"/>
      <c r="D109" s="118"/>
      <c r="E109" s="118"/>
      <c r="F109" s="119"/>
      <c r="G109" s="118"/>
      <c r="H109" s="110"/>
      <c r="I109" s="110"/>
      <c r="J109" s="139">
        <f t="shared" ca="1" si="6"/>
        <v>45103</v>
      </c>
      <c r="K109" s="110"/>
      <c r="L109" s="111">
        <v>0</v>
      </c>
      <c r="M109" s="111">
        <v>0</v>
      </c>
      <c r="N109" s="111">
        <v>0</v>
      </c>
      <c r="O109" s="140" t="e" cm="1">
        <f t="array" aca="1" ref="O109" ca="1">_xlfn.IFS(K109="Pending",DAYS360(F109,J109),K109="Issued",DAYS360(F109,H109),K109="Withdrawn",DAYS360(F109,I109))</f>
        <v>#N/A</v>
      </c>
      <c r="P109" s="140" t="str">
        <f t="shared" si="7"/>
        <v>NA</v>
      </c>
      <c r="Q109" s="111"/>
      <c r="R109" s="112"/>
      <c r="S109" s="112"/>
      <c r="T109" s="112"/>
      <c r="U109" s="114"/>
    </row>
    <row r="110" spans="1:21" s="104" customFormat="1" ht="14" x14ac:dyDescent="0.15">
      <c r="A110" s="118"/>
      <c r="B110" s="109"/>
      <c r="C110" s="109"/>
      <c r="D110" s="118"/>
      <c r="E110" s="118"/>
      <c r="F110" s="119"/>
      <c r="G110" s="118"/>
      <c r="H110" s="110"/>
      <c r="I110" s="110"/>
      <c r="J110" s="139">
        <f t="shared" ca="1" si="6"/>
        <v>45103</v>
      </c>
      <c r="K110" s="110"/>
      <c r="L110" s="111">
        <v>0</v>
      </c>
      <c r="M110" s="111">
        <v>0</v>
      </c>
      <c r="N110" s="111">
        <v>0</v>
      </c>
      <c r="O110" s="140" t="e" cm="1">
        <f t="array" aca="1" ref="O110" ca="1">_xlfn.IFS(K110="Pending",DAYS360(F110,J110),K110="Issued",DAYS360(F110,H110),K110="Withdrawn",DAYS360(F110,I110))</f>
        <v>#N/A</v>
      </c>
      <c r="P110" s="140" t="str">
        <f t="shared" si="7"/>
        <v>NA</v>
      </c>
      <c r="Q110" s="111"/>
      <c r="R110" s="112"/>
      <c r="S110" s="112"/>
      <c r="T110" s="112"/>
      <c r="U110" s="114"/>
    </row>
    <row r="111" spans="1:21" s="104" customFormat="1" ht="14" x14ac:dyDescent="0.15">
      <c r="A111" s="118"/>
      <c r="B111" s="109"/>
      <c r="C111" s="109"/>
      <c r="D111" s="118"/>
      <c r="E111" s="118"/>
      <c r="F111" s="119"/>
      <c r="G111" s="118"/>
      <c r="H111" s="110"/>
      <c r="I111" s="110"/>
      <c r="J111" s="139">
        <f t="shared" ca="1" si="6"/>
        <v>45103</v>
      </c>
      <c r="K111" s="110"/>
      <c r="L111" s="111">
        <v>0</v>
      </c>
      <c r="M111" s="111">
        <v>0</v>
      </c>
      <c r="N111" s="111">
        <v>0</v>
      </c>
      <c r="O111" s="140" t="e" cm="1">
        <f t="array" aca="1" ref="O111" ca="1">_xlfn.IFS(K111="Pending",DAYS360(F111,J111),K111="Issued",DAYS360(F111,H111),K111="Withdrawn",DAYS360(F111,I111))</f>
        <v>#N/A</v>
      </c>
      <c r="P111" s="140" t="str">
        <f t="shared" si="7"/>
        <v>NA</v>
      </c>
      <c r="Q111" s="111"/>
      <c r="R111" s="112"/>
      <c r="S111" s="112"/>
      <c r="T111" s="112"/>
      <c r="U111" s="114"/>
    </row>
    <row r="112" spans="1:21" s="104" customFormat="1" ht="14" x14ac:dyDescent="0.15">
      <c r="A112" s="118"/>
      <c r="B112" s="109"/>
      <c r="C112" s="109"/>
      <c r="D112" s="118"/>
      <c r="E112" s="118"/>
      <c r="F112" s="119"/>
      <c r="G112" s="118"/>
      <c r="H112" s="110"/>
      <c r="I112" s="110"/>
      <c r="J112" s="139">
        <f t="shared" ca="1" si="6"/>
        <v>45103</v>
      </c>
      <c r="K112" s="110"/>
      <c r="L112" s="111">
        <v>0</v>
      </c>
      <c r="M112" s="111">
        <v>0</v>
      </c>
      <c r="N112" s="111">
        <v>0</v>
      </c>
      <c r="O112" s="140" t="e" cm="1">
        <f t="array" aca="1" ref="O112" ca="1">_xlfn.IFS(K112="Pending",DAYS360(F112,J112),K112="Issued",DAYS360(F112,H112),K112="Withdrawn",DAYS360(F112,I112))</f>
        <v>#N/A</v>
      </c>
      <c r="P112" s="140" t="str">
        <f t="shared" si="7"/>
        <v>NA</v>
      </c>
      <c r="Q112" s="111"/>
      <c r="R112" s="112"/>
      <c r="S112" s="112"/>
      <c r="T112" s="112"/>
      <c r="U112" s="114"/>
    </row>
    <row r="113" spans="1:21" s="104" customFormat="1" ht="14" x14ac:dyDescent="0.15">
      <c r="A113" s="118"/>
      <c r="B113" s="109"/>
      <c r="C113" s="109"/>
      <c r="D113" s="118"/>
      <c r="E113" s="118"/>
      <c r="F113" s="119"/>
      <c r="G113" s="118"/>
      <c r="H113" s="110"/>
      <c r="I113" s="110"/>
      <c r="J113" s="139">
        <f t="shared" ca="1" si="6"/>
        <v>45103</v>
      </c>
      <c r="K113" s="110"/>
      <c r="L113" s="111">
        <v>0</v>
      </c>
      <c r="M113" s="111">
        <v>0</v>
      </c>
      <c r="N113" s="111">
        <v>0</v>
      </c>
      <c r="O113" s="140" t="e" cm="1">
        <f t="array" aca="1" ref="O113" ca="1">_xlfn.IFS(K113="Pending",DAYS360(F113,J113),K113="Issued",DAYS360(F113,H113),K113="Withdrawn",DAYS360(F113,I113))</f>
        <v>#N/A</v>
      </c>
      <c r="P113" s="140" t="str">
        <f t="shared" si="7"/>
        <v>NA</v>
      </c>
      <c r="Q113" s="111"/>
      <c r="R113" s="112"/>
      <c r="S113" s="112"/>
      <c r="T113" s="112"/>
      <c r="U113" s="114"/>
    </row>
    <row r="114" spans="1:21" s="104" customFormat="1" ht="14" x14ac:dyDescent="0.15">
      <c r="A114" s="118"/>
      <c r="B114" s="109"/>
      <c r="C114" s="109"/>
      <c r="D114" s="118"/>
      <c r="E114" s="118"/>
      <c r="F114" s="119"/>
      <c r="G114" s="118"/>
      <c r="H114" s="110"/>
      <c r="I114" s="110"/>
      <c r="J114" s="139">
        <f t="shared" ca="1" si="6"/>
        <v>45103</v>
      </c>
      <c r="K114" s="110"/>
      <c r="L114" s="111">
        <v>0</v>
      </c>
      <c r="M114" s="111">
        <v>0</v>
      </c>
      <c r="N114" s="111">
        <v>0</v>
      </c>
      <c r="O114" s="140" t="e" cm="1">
        <f t="array" aca="1" ref="O114" ca="1">_xlfn.IFS(K114="Pending",DAYS360(F114,J114),K114="Issued",DAYS360(F114,H114),K114="Withdrawn",DAYS360(F114,I114))</f>
        <v>#N/A</v>
      </c>
      <c r="P114" s="140" t="str">
        <f t="shared" si="7"/>
        <v>NA</v>
      </c>
      <c r="Q114" s="111"/>
      <c r="R114" s="112"/>
      <c r="S114" s="112"/>
      <c r="T114" s="112"/>
      <c r="U114" s="114"/>
    </row>
    <row r="115" spans="1:21" s="104" customFormat="1" ht="14" x14ac:dyDescent="0.15">
      <c r="A115" s="118"/>
      <c r="B115" s="109"/>
      <c r="C115" s="109"/>
      <c r="D115" s="118"/>
      <c r="E115" s="118"/>
      <c r="F115" s="119"/>
      <c r="G115" s="118"/>
      <c r="H115" s="110"/>
      <c r="I115" s="110"/>
      <c r="J115" s="139">
        <f t="shared" ca="1" si="6"/>
        <v>45103</v>
      </c>
      <c r="K115" s="110"/>
      <c r="L115" s="111">
        <v>0</v>
      </c>
      <c r="M115" s="111">
        <v>0</v>
      </c>
      <c r="N115" s="111">
        <v>0</v>
      </c>
      <c r="O115" s="140" t="e" cm="1">
        <f t="array" aca="1" ref="O115" ca="1">_xlfn.IFS(K115="Pending",DAYS360(F115,J115),K115="Issued",DAYS360(F115,H115),K115="Withdrawn",DAYS360(F115,I115))</f>
        <v>#N/A</v>
      </c>
      <c r="P115" s="140" t="str">
        <f t="shared" si="7"/>
        <v>NA</v>
      </c>
      <c r="Q115" s="111"/>
      <c r="R115" s="112"/>
      <c r="S115" s="112"/>
      <c r="T115" s="112"/>
      <c r="U115" s="114"/>
    </row>
    <row r="116" spans="1:21" s="104" customFormat="1" ht="14" x14ac:dyDescent="0.15">
      <c r="A116" s="118"/>
      <c r="B116" s="109"/>
      <c r="C116" s="109"/>
      <c r="D116" s="118"/>
      <c r="E116" s="118"/>
      <c r="F116" s="119"/>
      <c r="G116" s="118"/>
      <c r="H116" s="110"/>
      <c r="I116" s="110"/>
      <c r="J116" s="139">
        <f t="shared" ca="1" si="6"/>
        <v>45103</v>
      </c>
      <c r="K116" s="110"/>
      <c r="L116" s="111">
        <v>0</v>
      </c>
      <c r="M116" s="111">
        <v>0</v>
      </c>
      <c r="N116" s="111">
        <v>0</v>
      </c>
      <c r="O116" s="140" t="e" cm="1">
        <f t="array" aca="1" ref="O116" ca="1">_xlfn.IFS(K116="Pending",DAYS360(F116,J116),K116="Issued",DAYS360(F116,H116),K116="Withdrawn",DAYS360(F116,I116))</f>
        <v>#N/A</v>
      </c>
      <c r="P116" s="140" t="str">
        <f t="shared" si="7"/>
        <v>NA</v>
      </c>
      <c r="Q116" s="111"/>
      <c r="R116" s="112"/>
      <c r="S116" s="112"/>
      <c r="T116" s="112"/>
      <c r="U116" s="114"/>
    </row>
    <row r="117" spans="1:21" s="104" customFormat="1" ht="14" x14ac:dyDescent="0.15">
      <c r="A117" s="118"/>
      <c r="B117" s="109"/>
      <c r="C117" s="109"/>
      <c r="D117" s="118"/>
      <c r="E117" s="118"/>
      <c r="F117" s="119"/>
      <c r="G117" s="118"/>
      <c r="H117" s="110"/>
      <c r="I117" s="110"/>
      <c r="J117" s="139">
        <f t="shared" ca="1" si="6"/>
        <v>45103</v>
      </c>
      <c r="K117" s="110"/>
      <c r="L117" s="111">
        <v>0</v>
      </c>
      <c r="M117" s="111">
        <v>0</v>
      </c>
      <c r="N117" s="111">
        <v>0</v>
      </c>
      <c r="O117" s="140" t="e" cm="1">
        <f t="array" aca="1" ref="O117" ca="1">_xlfn.IFS(K117="Pending",DAYS360(F117,J117),K117="Issued",DAYS360(F117,H117),K117="Withdrawn",DAYS360(F117,I117))</f>
        <v>#N/A</v>
      </c>
      <c r="P117" s="140" t="str">
        <f t="shared" si="7"/>
        <v>NA</v>
      </c>
      <c r="Q117" s="111"/>
      <c r="R117" s="112"/>
      <c r="S117" s="112"/>
      <c r="T117" s="112"/>
      <c r="U117" s="114"/>
    </row>
    <row r="118" spans="1:21" s="104" customFormat="1" ht="14" x14ac:dyDescent="0.15">
      <c r="A118" s="118"/>
      <c r="B118" s="109"/>
      <c r="C118" s="109"/>
      <c r="D118" s="118"/>
      <c r="E118" s="118"/>
      <c r="F118" s="119"/>
      <c r="G118" s="118"/>
      <c r="H118" s="110"/>
      <c r="I118" s="110"/>
      <c r="J118" s="139">
        <f t="shared" ca="1" si="6"/>
        <v>45103</v>
      </c>
      <c r="K118" s="110"/>
      <c r="L118" s="111">
        <v>0</v>
      </c>
      <c r="M118" s="111">
        <v>0</v>
      </c>
      <c r="N118" s="111">
        <v>0</v>
      </c>
      <c r="O118" s="140" t="e" cm="1">
        <f t="array" aca="1" ref="O118" ca="1">_xlfn.IFS(K118="Pending",DAYS360(F118,J118),K118="Issued",DAYS360(F118,H118),K118="Withdrawn",DAYS360(F118,I118))</f>
        <v>#N/A</v>
      </c>
      <c r="P118" s="140" t="str">
        <f t="shared" si="7"/>
        <v>NA</v>
      </c>
      <c r="Q118" s="111"/>
      <c r="R118" s="112"/>
      <c r="S118" s="112"/>
      <c r="T118" s="112"/>
      <c r="U118" s="114"/>
    </row>
    <row r="119" spans="1:21" s="104" customFormat="1" ht="14" x14ac:dyDescent="0.15">
      <c r="A119" s="118"/>
      <c r="B119" s="109"/>
      <c r="C119" s="109"/>
      <c r="D119" s="118"/>
      <c r="E119" s="118"/>
      <c r="F119" s="119"/>
      <c r="G119" s="118"/>
      <c r="H119" s="110"/>
      <c r="I119" s="110"/>
      <c r="J119" s="139">
        <f t="shared" ca="1" si="6"/>
        <v>45103</v>
      </c>
      <c r="K119" s="110"/>
      <c r="L119" s="111">
        <v>0</v>
      </c>
      <c r="M119" s="111">
        <v>0</v>
      </c>
      <c r="N119" s="111">
        <v>0</v>
      </c>
      <c r="O119" s="140" t="e" cm="1">
        <f t="array" aca="1" ref="O119" ca="1">_xlfn.IFS(K119="Pending",DAYS360(F119,J119),K119="Issued",DAYS360(F119,H119),K119="Withdrawn",DAYS360(F119,I119))</f>
        <v>#N/A</v>
      </c>
      <c r="P119" s="140" t="str">
        <f t="shared" si="7"/>
        <v>NA</v>
      </c>
      <c r="Q119" s="111"/>
      <c r="R119" s="112"/>
      <c r="S119" s="112"/>
      <c r="T119" s="112"/>
      <c r="U119" s="114"/>
    </row>
    <row r="120" spans="1:21" s="104" customFormat="1" ht="14" x14ac:dyDescent="0.15">
      <c r="A120" s="118"/>
      <c r="B120" s="109"/>
      <c r="C120" s="109"/>
      <c r="D120" s="118"/>
      <c r="E120" s="118"/>
      <c r="F120" s="119"/>
      <c r="G120" s="118"/>
      <c r="H120" s="110"/>
      <c r="I120" s="110"/>
      <c r="J120" s="139">
        <f t="shared" ca="1" si="6"/>
        <v>45103</v>
      </c>
      <c r="K120" s="110"/>
      <c r="L120" s="111">
        <v>0</v>
      </c>
      <c r="M120" s="111">
        <v>0</v>
      </c>
      <c r="N120" s="111">
        <v>0</v>
      </c>
      <c r="O120" s="140" t="e" cm="1">
        <f t="array" aca="1" ref="O120" ca="1">_xlfn.IFS(K120="Pending",DAYS360(F120,J120),K120="Issued",DAYS360(F120,H120),K120="Withdrawn",DAYS360(F120,I120))</f>
        <v>#N/A</v>
      </c>
      <c r="P120" s="140" t="str">
        <f t="shared" si="7"/>
        <v>NA</v>
      </c>
      <c r="Q120" s="111"/>
      <c r="R120" s="112"/>
      <c r="S120" s="112"/>
      <c r="T120" s="112"/>
      <c r="U120" s="114"/>
    </row>
    <row r="121" spans="1:21" s="104" customFormat="1" ht="14" x14ac:dyDescent="0.15">
      <c r="A121" s="118"/>
      <c r="B121" s="109"/>
      <c r="C121" s="109"/>
      <c r="D121" s="118"/>
      <c r="E121" s="118"/>
      <c r="F121" s="119"/>
      <c r="G121" s="118"/>
      <c r="H121" s="110"/>
      <c r="I121" s="110"/>
      <c r="J121" s="139">
        <f t="shared" ca="1" si="6"/>
        <v>45103</v>
      </c>
      <c r="K121" s="110"/>
      <c r="L121" s="111">
        <v>0</v>
      </c>
      <c r="M121" s="111">
        <v>0</v>
      </c>
      <c r="N121" s="111">
        <v>0</v>
      </c>
      <c r="O121" s="140" t="e" cm="1">
        <f t="array" aca="1" ref="O121" ca="1">_xlfn.IFS(K121="Pending",DAYS360(F121,J121),K121="Issued",DAYS360(F121,H121),K121="Withdrawn",DAYS360(F121,I121))</f>
        <v>#N/A</v>
      </c>
      <c r="P121" s="140" t="str">
        <f t="shared" si="7"/>
        <v>NA</v>
      </c>
      <c r="Q121" s="111"/>
      <c r="R121" s="112"/>
      <c r="S121" s="112"/>
      <c r="T121" s="112"/>
      <c r="U121" s="114"/>
    </row>
    <row r="122" spans="1:21" s="104" customFormat="1" ht="14" x14ac:dyDescent="0.15">
      <c r="A122" s="118"/>
      <c r="B122" s="109"/>
      <c r="C122" s="109"/>
      <c r="D122" s="118"/>
      <c r="E122" s="118"/>
      <c r="F122" s="119"/>
      <c r="G122" s="118"/>
      <c r="H122" s="110"/>
      <c r="I122" s="110"/>
      <c r="J122" s="139">
        <f t="shared" ca="1" si="6"/>
        <v>45103</v>
      </c>
      <c r="K122" s="110"/>
      <c r="L122" s="111">
        <v>0</v>
      </c>
      <c r="M122" s="111">
        <v>0</v>
      </c>
      <c r="N122" s="111">
        <v>0</v>
      </c>
      <c r="O122" s="140" t="e" cm="1">
        <f t="array" aca="1" ref="O122" ca="1">_xlfn.IFS(K122="Pending",DAYS360(F122,J122),K122="Issued",DAYS360(F122,H122),K122="Withdrawn",DAYS360(F122,I122))</f>
        <v>#N/A</v>
      </c>
      <c r="P122" s="140" t="str">
        <f t="shared" si="7"/>
        <v>NA</v>
      </c>
      <c r="Q122" s="111"/>
      <c r="R122" s="112"/>
      <c r="S122" s="112"/>
      <c r="T122" s="112"/>
      <c r="U122" s="114"/>
    </row>
    <row r="123" spans="1:21" s="104" customFormat="1" ht="14" x14ac:dyDescent="0.15">
      <c r="A123" s="118"/>
      <c r="B123" s="109"/>
      <c r="C123" s="109"/>
      <c r="D123" s="118"/>
      <c r="E123" s="118"/>
      <c r="F123" s="119"/>
      <c r="G123" s="118"/>
      <c r="H123" s="110"/>
      <c r="I123" s="110"/>
      <c r="J123" s="139">
        <f t="shared" ca="1" si="6"/>
        <v>45103</v>
      </c>
      <c r="K123" s="110"/>
      <c r="L123" s="111">
        <v>0</v>
      </c>
      <c r="M123" s="111">
        <v>0</v>
      </c>
      <c r="N123" s="111">
        <v>0</v>
      </c>
      <c r="O123" s="140" t="e" cm="1">
        <f t="array" aca="1" ref="O123" ca="1">_xlfn.IFS(K123="Pending",DAYS360(F123,J123),K123="Issued",DAYS360(F123,H123),K123="Withdrawn",DAYS360(F123,I123))</f>
        <v>#N/A</v>
      </c>
      <c r="P123" s="140" t="str">
        <f t="shared" si="7"/>
        <v>NA</v>
      </c>
      <c r="Q123" s="111"/>
      <c r="R123" s="112"/>
      <c r="S123" s="112"/>
      <c r="T123" s="112"/>
      <c r="U123" s="114"/>
    </row>
    <row r="124" spans="1:21" s="104" customFormat="1" ht="14" x14ac:dyDescent="0.15">
      <c r="A124" s="118"/>
      <c r="B124" s="109"/>
      <c r="C124" s="109"/>
      <c r="D124" s="118"/>
      <c r="E124" s="118"/>
      <c r="F124" s="119"/>
      <c r="G124" s="118"/>
      <c r="H124" s="110"/>
      <c r="I124" s="110"/>
      <c r="J124" s="139">
        <f t="shared" ca="1" si="6"/>
        <v>45103</v>
      </c>
      <c r="K124" s="110"/>
      <c r="L124" s="111">
        <v>0</v>
      </c>
      <c r="M124" s="111">
        <v>0</v>
      </c>
      <c r="N124" s="111">
        <v>0</v>
      </c>
      <c r="O124" s="140" t="e" cm="1">
        <f t="array" aca="1" ref="O124" ca="1">_xlfn.IFS(K124="Pending",DAYS360(F124,J124),K124="Issued",DAYS360(F124,H124),K124="Withdrawn",DAYS360(F124,I124))</f>
        <v>#N/A</v>
      </c>
      <c r="P124" s="140" t="str">
        <f t="shared" si="7"/>
        <v>NA</v>
      </c>
      <c r="Q124" s="111"/>
      <c r="R124" s="112"/>
      <c r="S124" s="112"/>
      <c r="T124" s="112"/>
      <c r="U124" s="114"/>
    </row>
    <row r="125" spans="1:21" s="104" customFormat="1" ht="14" x14ac:dyDescent="0.15">
      <c r="A125" s="118"/>
      <c r="B125" s="109"/>
      <c r="C125" s="109"/>
      <c r="D125" s="118"/>
      <c r="E125" s="118"/>
      <c r="F125" s="119"/>
      <c r="G125" s="118"/>
      <c r="H125" s="110"/>
      <c r="I125" s="110"/>
      <c r="J125" s="139">
        <f t="shared" ca="1" si="6"/>
        <v>45103</v>
      </c>
      <c r="K125" s="110"/>
      <c r="L125" s="111">
        <v>0</v>
      </c>
      <c r="M125" s="111">
        <v>0</v>
      </c>
      <c r="N125" s="111">
        <v>0</v>
      </c>
      <c r="O125" s="140" t="e" cm="1">
        <f t="array" aca="1" ref="O125" ca="1">_xlfn.IFS(K125="Pending",DAYS360(F125,J125),K125="Issued",DAYS360(F125,H125),K125="Withdrawn",DAYS360(F125,I125))</f>
        <v>#N/A</v>
      </c>
      <c r="P125" s="140" t="str">
        <f t="shared" si="7"/>
        <v>NA</v>
      </c>
      <c r="Q125" s="111"/>
      <c r="R125" s="112"/>
      <c r="S125" s="112"/>
      <c r="T125" s="112"/>
      <c r="U125" s="114"/>
    </row>
    <row r="126" spans="1:21" s="104" customFormat="1" ht="14" x14ac:dyDescent="0.15">
      <c r="A126" s="118"/>
      <c r="B126" s="109"/>
      <c r="C126" s="109"/>
      <c r="D126" s="118"/>
      <c r="E126" s="118"/>
      <c r="F126" s="119"/>
      <c r="G126" s="118"/>
      <c r="H126" s="110"/>
      <c r="I126" s="110"/>
      <c r="J126" s="139">
        <f t="shared" ca="1" si="6"/>
        <v>45103</v>
      </c>
      <c r="K126" s="110"/>
      <c r="L126" s="111">
        <v>0</v>
      </c>
      <c r="M126" s="111">
        <v>0</v>
      </c>
      <c r="N126" s="111">
        <v>0</v>
      </c>
      <c r="O126" s="140" t="e" cm="1">
        <f t="array" aca="1" ref="O126" ca="1">_xlfn.IFS(K126="Pending",DAYS360(F126,J126),K126="Issued",DAYS360(F126,H126),K126="Withdrawn",DAYS360(F126,I126))</f>
        <v>#N/A</v>
      </c>
      <c r="P126" s="140" t="str">
        <f t="shared" si="7"/>
        <v>NA</v>
      </c>
      <c r="Q126" s="111"/>
      <c r="R126" s="112"/>
      <c r="S126" s="112"/>
      <c r="T126" s="112"/>
      <c r="U126" s="114"/>
    </row>
    <row r="127" spans="1:21" s="104" customFormat="1" ht="14" x14ac:dyDescent="0.15">
      <c r="A127" s="118"/>
      <c r="B127" s="109"/>
      <c r="C127" s="109"/>
      <c r="D127" s="118"/>
      <c r="E127" s="118"/>
      <c r="F127" s="119"/>
      <c r="G127" s="118"/>
      <c r="H127" s="110"/>
      <c r="I127" s="110"/>
      <c r="J127" s="139">
        <f t="shared" ca="1" si="6"/>
        <v>45103</v>
      </c>
      <c r="K127" s="110"/>
      <c r="L127" s="111">
        <v>0</v>
      </c>
      <c r="M127" s="111">
        <v>0</v>
      </c>
      <c r="N127" s="111">
        <v>0</v>
      </c>
      <c r="O127" s="140" t="e" cm="1">
        <f t="array" aca="1" ref="O127" ca="1">_xlfn.IFS(K127="Pending",DAYS360(F127,J127),K127="Issued",DAYS360(F127,H127),K127="Withdrawn",DAYS360(F127,I127))</f>
        <v>#N/A</v>
      </c>
      <c r="P127" s="140" t="str">
        <f t="shared" si="7"/>
        <v>NA</v>
      </c>
      <c r="Q127" s="111"/>
      <c r="R127" s="112"/>
      <c r="S127" s="112"/>
      <c r="T127" s="112"/>
      <c r="U127" s="114"/>
    </row>
    <row r="128" spans="1:21" s="104" customFormat="1" ht="14" x14ac:dyDescent="0.15">
      <c r="A128" s="118"/>
      <c r="B128" s="109"/>
      <c r="C128" s="109"/>
      <c r="D128" s="118"/>
      <c r="E128" s="118"/>
      <c r="F128" s="119"/>
      <c r="G128" s="118"/>
      <c r="H128" s="110"/>
      <c r="I128" s="110"/>
      <c r="J128" s="139">
        <f t="shared" ca="1" si="6"/>
        <v>45103</v>
      </c>
      <c r="K128" s="110"/>
      <c r="L128" s="111">
        <v>0</v>
      </c>
      <c r="M128" s="111">
        <v>0</v>
      </c>
      <c r="N128" s="111">
        <v>0</v>
      </c>
      <c r="O128" s="140" t="e" cm="1">
        <f t="array" aca="1" ref="O128" ca="1">_xlfn.IFS(K128="Pending",DAYS360(F128,J128),K128="Issued",DAYS360(F128,H128),K128="Withdrawn",DAYS360(F128,I128))</f>
        <v>#N/A</v>
      </c>
      <c r="P128" s="140" t="str">
        <f t="shared" si="7"/>
        <v>NA</v>
      </c>
      <c r="Q128" s="111"/>
      <c r="R128" s="112"/>
      <c r="S128" s="112"/>
      <c r="T128" s="112"/>
      <c r="U128" s="114"/>
    </row>
    <row r="129" spans="1:21" s="104" customFormat="1" ht="14" x14ac:dyDescent="0.15">
      <c r="A129" s="118"/>
      <c r="B129" s="109"/>
      <c r="C129" s="109"/>
      <c r="D129" s="118"/>
      <c r="E129" s="118"/>
      <c r="F129" s="119"/>
      <c r="G129" s="118"/>
      <c r="H129" s="110"/>
      <c r="I129" s="110"/>
      <c r="J129" s="139">
        <f t="shared" ca="1" si="6"/>
        <v>45103</v>
      </c>
      <c r="K129" s="110"/>
      <c r="L129" s="111">
        <v>0</v>
      </c>
      <c r="M129" s="111">
        <v>0</v>
      </c>
      <c r="N129" s="111">
        <v>0</v>
      </c>
      <c r="O129" s="140" t="e" cm="1">
        <f t="array" aca="1" ref="O129" ca="1">_xlfn.IFS(K129="Pending",DAYS360(F129,J129),K129="Issued",DAYS360(F129,H129),K129="Withdrawn",DAYS360(F129,I129))</f>
        <v>#N/A</v>
      </c>
      <c r="P129" s="140" t="str">
        <f t="shared" si="7"/>
        <v>NA</v>
      </c>
      <c r="Q129" s="111"/>
      <c r="R129" s="112"/>
      <c r="S129" s="112"/>
      <c r="T129" s="112"/>
      <c r="U129" s="114"/>
    </row>
    <row r="130" spans="1:21" s="104" customFormat="1" ht="14" x14ac:dyDescent="0.15">
      <c r="A130" s="118"/>
      <c r="B130" s="109"/>
      <c r="C130" s="109"/>
      <c r="D130" s="118"/>
      <c r="E130" s="118"/>
      <c r="F130" s="119"/>
      <c r="G130" s="118"/>
      <c r="H130" s="110"/>
      <c r="I130" s="110"/>
      <c r="J130" s="139">
        <f t="shared" ca="1" si="6"/>
        <v>45103</v>
      </c>
      <c r="K130" s="110"/>
      <c r="L130" s="111">
        <v>0</v>
      </c>
      <c r="M130" s="111">
        <v>0</v>
      </c>
      <c r="N130" s="111">
        <v>0</v>
      </c>
      <c r="O130" s="140" t="e" cm="1">
        <f t="array" aca="1" ref="O130" ca="1">_xlfn.IFS(K130="Pending",DAYS360(F130,J130),K130="Issued",DAYS360(F130,H130),K130="Withdrawn",DAYS360(F130,I130))</f>
        <v>#N/A</v>
      </c>
      <c r="P130" s="140" t="str">
        <f t="shared" si="7"/>
        <v>NA</v>
      </c>
      <c r="Q130" s="111"/>
      <c r="R130" s="112"/>
      <c r="S130" s="112"/>
      <c r="T130" s="112"/>
      <c r="U130" s="114"/>
    </row>
    <row r="131" spans="1:21" s="104" customFormat="1" ht="14" x14ac:dyDescent="0.15">
      <c r="A131" s="118"/>
      <c r="B131" s="109"/>
      <c r="C131" s="109"/>
      <c r="D131" s="118"/>
      <c r="E131" s="118"/>
      <c r="F131" s="119"/>
      <c r="G131" s="118"/>
      <c r="H131" s="110"/>
      <c r="I131" s="110"/>
      <c r="J131" s="139">
        <f t="shared" ref="J131:J157" ca="1" si="8">TODAY()</f>
        <v>45103</v>
      </c>
      <c r="K131" s="110"/>
      <c r="L131" s="111">
        <v>0</v>
      </c>
      <c r="M131" s="111">
        <v>0</v>
      </c>
      <c r="N131" s="111">
        <v>0</v>
      </c>
      <c r="O131" s="140" t="e" cm="1">
        <f t="array" aca="1" ref="O131" ca="1">_xlfn.IFS(K131="Pending",DAYS360(F131,J131),K131="Issued",DAYS360(F131,H131),K131="Withdrawn",DAYS360(F131,I131))</f>
        <v>#N/A</v>
      </c>
      <c r="P131" s="140" t="str">
        <f t="shared" ref="P131:P157" si="9">IF(K131="Issued",DAYS360(F131,H131),"NA")</f>
        <v>NA</v>
      </c>
      <c r="Q131" s="111"/>
      <c r="R131" s="112"/>
      <c r="S131" s="112"/>
      <c r="T131" s="112"/>
      <c r="U131" s="114"/>
    </row>
    <row r="132" spans="1:21" s="104" customFormat="1" ht="14" x14ac:dyDescent="0.15">
      <c r="A132" s="118"/>
      <c r="B132" s="109"/>
      <c r="C132" s="109"/>
      <c r="D132" s="118"/>
      <c r="E132" s="118"/>
      <c r="F132" s="119"/>
      <c r="G132" s="118"/>
      <c r="H132" s="110"/>
      <c r="I132" s="110"/>
      <c r="J132" s="139">
        <f t="shared" ca="1" si="8"/>
        <v>45103</v>
      </c>
      <c r="K132" s="110"/>
      <c r="L132" s="111">
        <v>0</v>
      </c>
      <c r="M132" s="111">
        <v>0</v>
      </c>
      <c r="N132" s="111">
        <v>0</v>
      </c>
      <c r="O132" s="140" t="e" cm="1">
        <f t="array" aca="1" ref="O132" ca="1">_xlfn.IFS(K132="Pending",DAYS360(F132,J132),K132="Issued",DAYS360(F132,H132),K132="Withdrawn",DAYS360(F132,I132))</f>
        <v>#N/A</v>
      </c>
      <c r="P132" s="140" t="str">
        <f t="shared" si="9"/>
        <v>NA</v>
      </c>
      <c r="Q132" s="111"/>
      <c r="R132" s="112"/>
      <c r="S132" s="112"/>
      <c r="T132" s="112"/>
      <c r="U132" s="114"/>
    </row>
    <row r="133" spans="1:21" s="104" customFormat="1" ht="14" x14ac:dyDescent="0.15">
      <c r="A133" s="118"/>
      <c r="B133" s="109"/>
      <c r="C133" s="109"/>
      <c r="D133" s="118"/>
      <c r="E133" s="118"/>
      <c r="F133" s="119"/>
      <c r="G133" s="118"/>
      <c r="H133" s="110"/>
      <c r="I133" s="110"/>
      <c r="J133" s="139">
        <f t="shared" ca="1" si="8"/>
        <v>45103</v>
      </c>
      <c r="K133" s="110"/>
      <c r="L133" s="111">
        <v>0</v>
      </c>
      <c r="M133" s="111">
        <v>0</v>
      </c>
      <c r="N133" s="111">
        <v>0</v>
      </c>
      <c r="O133" s="140" t="e" cm="1">
        <f t="array" aca="1" ref="O133" ca="1">_xlfn.IFS(K133="Pending",DAYS360(F133,J133),K133="Issued",DAYS360(F133,H133),K133="Withdrawn",DAYS360(F133,I133))</f>
        <v>#N/A</v>
      </c>
      <c r="P133" s="140" t="str">
        <f t="shared" si="9"/>
        <v>NA</v>
      </c>
      <c r="Q133" s="111"/>
      <c r="R133" s="112"/>
      <c r="S133" s="112"/>
      <c r="T133" s="112"/>
      <c r="U133" s="114"/>
    </row>
    <row r="134" spans="1:21" s="104" customFormat="1" ht="14" x14ac:dyDescent="0.15">
      <c r="A134" s="118"/>
      <c r="B134" s="109"/>
      <c r="C134" s="109"/>
      <c r="D134" s="118"/>
      <c r="E134" s="118"/>
      <c r="F134" s="119"/>
      <c r="G134" s="118"/>
      <c r="H134" s="110"/>
      <c r="I134" s="110"/>
      <c r="J134" s="139">
        <f t="shared" ca="1" si="8"/>
        <v>45103</v>
      </c>
      <c r="K134" s="110"/>
      <c r="L134" s="111">
        <v>0</v>
      </c>
      <c r="M134" s="111">
        <v>0</v>
      </c>
      <c r="N134" s="111">
        <v>0</v>
      </c>
      <c r="O134" s="140" t="e" cm="1">
        <f t="array" aca="1" ref="O134" ca="1">_xlfn.IFS(K134="Pending",DAYS360(F134,J134),K134="Issued",DAYS360(F134,H134),K134="Withdrawn",DAYS360(F134,I134))</f>
        <v>#N/A</v>
      </c>
      <c r="P134" s="140" t="str">
        <f t="shared" si="9"/>
        <v>NA</v>
      </c>
      <c r="Q134" s="111"/>
      <c r="R134" s="112"/>
      <c r="S134" s="112"/>
      <c r="T134" s="112"/>
      <c r="U134" s="114"/>
    </row>
    <row r="135" spans="1:21" s="104" customFormat="1" ht="14" x14ac:dyDescent="0.15">
      <c r="A135" s="118"/>
      <c r="B135" s="109"/>
      <c r="C135" s="109"/>
      <c r="D135" s="118"/>
      <c r="E135" s="118"/>
      <c r="F135" s="119"/>
      <c r="G135" s="118"/>
      <c r="H135" s="110"/>
      <c r="I135" s="110"/>
      <c r="J135" s="139">
        <f t="shared" ca="1" si="8"/>
        <v>45103</v>
      </c>
      <c r="K135" s="110"/>
      <c r="L135" s="111">
        <v>0</v>
      </c>
      <c r="M135" s="111">
        <v>0</v>
      </c>
      <c r="N135" s="111">
        <v>0</v>
      </c>
      <c r="O135" s="140" t="e" cm="1">
        <f t="array" aca="1" ref="O135" ca="1">_xlfn.IFS(K135="Pending",DAYS360(F135,J135),K135="Issued",DAYS360(F135,H135),K135="Withdrawn",DAYS360(F135,I135))</f>
        <v>#N/A</v>
      </c>
      <c r="P135" s="140" t="str">
        <f t="shared" si="9"/>
        <v>NA</v>
      </c>
      <c r="Q135" s="111"/>
      <c r="R135" s="112"/>
      <c r="S135" s="112"/>
      <c r="T135" s="112"/>
      <c r="U135" s="114"/>
    </row>
    <row r="136" spans="1:21" s="104" customFormat="1" ht="14" x14ac:dyDescent="0.15">
      <c r="A136" s="118"/>
      <c r="B136" s="109"/>
      <c r="C136" s="109"/>
      <c r="D136" s="118"/>
      <c r="E136" s="118"/>
      <c r="F136" s="119"/>
      <c r="G136" s="118"/>
      <c r="H136" s="110"/>
      <c r="I136" s="110"/>
      <c r="J136" s="139">
        <f t="shared" ca="1" si="8"/>
        <v>45103</v>
      </c>
      <c r="K136" s="110"/>
      <c r="L136" s="111">
        <v>0</v>
      </c>
      <c r="M136" s="111">
        <v>0</v>
      </c>
      <c r="N136" s="111">
        <v>0</v>
      </c>
      <c r="O136" s="140" t="e" cm="1">
        <f t="array" aca="1" ref="O136" ca="1">_xlfn.IFS(K136="Pending",DAYS360(F136,J136),K136="Issued",DAYS360(F136,H136),K136="Withdrawn",DAYS360(F136,I136))</f>
        <v>#N/A</v>
      </c>
      <c r="P136" s="140" t="str">
        <f t="shared" si="9"/>
        <v>NA</v>
      </c>
      <c r="Q136" s="111"/>
      <c r="R136" s="112"/>
      <c r="S136" s="112"/>
      <c r="T136" s="112"/>
      <c r="U136" s="114"/>
    </row>
    <row r="137" spans="1:21" s="104" customFormat="1" ht="14" x14ac:dyDescent="0.15">
      <c r="A137" s="118"/>
      <c r="B137" s="109"/>
      <c r="C137" s="109"/>
      <c r="D137" s="118"/>
      <c r="E137" s="118"/>
      <c r="F137" s="119"/>
      <c r="G137" s="118"/>
      <c r="H137" s="110"/>
      <c r="I137" s="110"/>
      <c r="J137" s="139">
        <f t="shared" ca="1" si="8"/>
        <v>45103</v>
      </c>
      <c r="K137" s="110"/>
      <c r="L137" s="111">
        <v>0</v>
      </c>
      <c r="M137" s="111">
        <v>0</v>
      </c>
      <c r="N137" s="111">
        <v>0</v>
      </c>
      <c r="O137" s="140" t="e" cm="1">
        <f t="array" aca="1" ref="O137" ca="1">_xlfn.IFS(K137="Pending",DAYS360(F137,J137),K137="Issued",DAYS360(F137,H137),K137="Withdrawn",DAYS360(F137,I137))</f>
        <v>#N/A</v>
      </c>
      <c r="P137" s="140" t="str">
        <f t="shared" si="9"/>
        <v>NA</v>
      </c>
      <c r="Q137" s="111"/>
      <c r="R137" s="112"/>
      <c r="S137" s="112"/>
      <c r="T137" s="112"/>
      <c r="U137" s="114"/>
    </row>
    <row r="138" spans="1:21" s="104" customFormat="1" ht="14" x14ac:dyDescent="0.15">
      <c r="A138" s="118"/>
      <c r="B138" s="109"/>
      <c r="C138" s="109"/>
      <c r="D138" s="118"/>
      <c r="E138" s="118"/>
      <c r="F138" s="119"/>
      <c r="G138" s="118"/>
      <c r="H138" s="110"/>
      <c r="I138" s="110"/>
      <c r="J138" s="139">
        <f t="shared" ca="1" si="8"/>
        <v>45103</v>
      </c>
      <c r="K138" s="110"/>
      <c r="L138" s="111">
        <v>0</v>
      </c>
      <c r="M138" s="111">
        <v>0</v>
      </c>
      <c r="N138" s="111">
        <v>0</v>
      </c>
      <c r="O138" s="140" t="e" cm="1">
        <f t="array" aca="1" ref="O138" ca="1">_xlfn.IFS(K138="Pending",DAYS360(F138,J138),K138="Issued",DAYS360(F138,H138),K138="Withdrawn",DAYS360(F138,I138))</f>
        <v>#N/A</v>
      </c>
      <c r="P138" s="140" t="str">
        <f t="shared" si="9"/>
        <v>NA</v>
      </c>
      <c r="Q138" s="111"/>
      <c r="R138" s="112"/>
      <c r="S138" s="112"/>
      <c r="T138" s="112"/>
      <c r="U138" s="114"/>
    </row>
    <row r="139" spans="1:21" s="104" customFormat="1" ht="14" x14ac:dyDescent="0.15">
      <c r="A139" s="109"/>
      <c r="B139" s="109"/>
      <c r="C139" s="109"/>
      <c r="D139" s="109"/>
      <c r="E139" s="109"/>
      <c r="F139" s="110"/>
      <c r="G139" s="109"/>
      <c r="H139" s="110"/>
      <c r="I139" s="110"/>
      <c r="J139" s="138">
        <f t="shared" ca="1" si="8"/>
        <v>45103</v>
      </c>
      <c r="K139" s="110"/>
      <c r="L139" s="111">
        <v>0</v>
      </c>
      <c r="M139" s="111">
        <v>0</v>
      </c>
      <c r="N139" s="111">
        <v>0</v>
      </c>
      <c r="O139" s="140" t="e" cm="1">
        <f t="array" aca="1" ref="O139" ca="1">_xlfn.IFS(K139="Pending",DAYS360(F139,J139),K139="Issued",DAYS360(F139,H139),K139="Withdrawn",DAYS360(F139,I139))</f>
        <v>#N/A</v>
      </c>
      <c r="P139" s="140" t="str">
        <f t="shared" si="9"/>
        <v>NA</v>
      </c>
      <c r="Q139" s="111"/>
      <c r="R139" s="112"/>
      <c r="S139" s="112"/>
      <c r="T139" s="112"/>
      <c r="U139" s="114"/>
    </row>
    <row r="140" spans="1:21" s="104" customFormat="1" ht="14" x14ac:dyDescent="0.15">
      <c r="A140" s="109"/>
      <c r="B140" s="109"/>
      <c r="C140" s="109"/>
      <c r="D140" s="109"/>
      <c r="E140" s="109"/>
      <c r="F140" s="110"/>
      <c r="G140" s="109"/>
      <c r="H140" s="110"/>
      <c r="I140" s="110"/>
      <c r="J140" s="138">
        <f t="shared" ca="1" si="8"/>
        <v>45103</v>
      </c>
      <c r="K140" s="110"/>
      <c r="L140" s="111">
        <v>0</v>
      </c>
      <c r="M140" s="111">
        <v>0</v>
      </c>
      <c r="N140" s="111">
        <v>0</v>
      </c>
      <c r="O140" s="140" t="e" cm="1">
        <f t="array" aca="1" ref="O140" ca="1">_xlfn.IFS(K140="Pending",DAYS360(F140,J140),K140="Issued",DAYS360(F140,H140),K140="Withdrawn",DAYS360(F140,I140))</f>
        <v>#N/A</v>
      </c>
      <c r="P140" s="140" t="str">
        <f t="shared" si="9"/>
        <v>NA</v>
      </c>
      <c r="Q140" s="111"/>
      <c r="R140" s="112"/>
      <c r="S140" s="112"/>
      <c r="T140" s="112"/>
      <c r="U140" s="114"/>
    </row>
    <row r="141" spans="1:21" s="104" customFormat="1" ht="14" x14ac:dyDescent="0.15">
      <c r="A141" s="109"/>
      <c r="B141" s="109"/>
      <c r="C141" s="109"/>
      <c r="D141" s="109"/>
      <c r="E141" s="109"/>
      <c r="F141" s="110"/>
      <c r="G141" s="110"/>
      <c r="H141" s="110"/>
      <c r="I141" s="110"/>
      <c r="J141" s="138">
        <f t="shared" ca="1" si="8"/>
        <v>45103</v>
      </c>
      <c r="K141" s="110"/>
      <c r="L141" s="111">
        <v>0</v>
      </c>
      <c r="M141" s="111">
        <v>0</v>
      </c>
      <c r="N141" s="111">
        <v>0</v>
      </c>
      <c r="O141" s="140" t="e" cm="1">
        <f t="array" aca="1" ref="O141" ca="1">_xlfn.IFS(K141="Pending",DAYS360(F141,J141),K141="Issued",DAYS360(F141,H141),K141="Withdrawn",DAYS360(F141,I141))</f>
        <v>#N/A</v>
      </c>
      <c r="P141" s="140" t="str">
        <f t="shared" si="9"/>
        <v>NA</v>
      </c>
      <c r="Q141" s="111"/>
      <c r="R141" s="112"/>
      <c r="S141" s="112"/>
      <c r="T141" s="112"/>
      <c r="U141" s="114"/>
    </row>
    <row r="142" spans="1:21" s="104" customFormat="1" ht="14" x14ac:dyDescent="0.15">
      <c r="A142" s="109"/>
      <c r="B142" s="109"/>
      <c r="C142" s="109"/>
      <c r="D142" s="109"/>
      <c r="E142" s="109"/>
      <c r="F142" s="110"/>
      <c r="G142" s="110"/>
      <c r="H142" s="110"/>
      <c r="I142" s="110"/>
      <c r="J142" s="138">
        <f t="shared" ca="1" si="8"/>
        <v>45103</v>
      </c>
      <c r="K142" s="110"/>
      <c r="L142" s="111">
        <v>0</v>
      </c>
      <c r="M142" s="111">
        <v>0</v>
      </c>
      <c r="N142" s="111">
        <v>0</v>
      </c>
      <c r="O142" s="140" t="e" cm="1">
        <f t="array" aca="1" ref="O142" ca="1">_xlfn.IFS(K142="Pending",DAYS360(F142,J142),K142="Issued",DAYS360(F142,H142),K142="Withdrawn",DAYS360(F142,I142))</f>
        <v>#N/A</v>
      </c>
      <c r="P142" s="140" t="str">
        <f t="shared" si="9"/>
        <v>NA</v>
      </c>
      <c r="Q142" s="111"/>
      <c r="R142" s="112"/>
      <c r="S142" s="112"/>
      <c r="T142" s="112"/>
      <c r="U142" s="114"/>
    </row>
    <row r="143" spans="1:21" s="104" customFormat="1" ht="14" x14ac:dyDescent="0.15">
      <c r="A143" s="109"/>
      <c r="B143" s="109"/>
      <c r="C143" s="109"/>
      <c r="D143" s="109"/>
      <c r="E143" s="109"/>
      <c r="F143" s="110"/>
      <c r="G143" s="110"/>
      <c r="H143" s="110"/>
      <c r="I143" s="110"/>
      <c r="J143" s="138">
        <f t="shared" ca="1" si="8"/>
        <v>45103</v>
      </c>
      <c r="K143" s="110"/>
      <c r="L143" s="111">
        <v>0</v>
      </c>
      <c r="M143" s="111">
        <v>0</v>
      </c>
      <c r="N143" s="111">
        <v>0</v>
      </c>
      <c r="O143" s="140" t="e" cm="1">
        <f t="array" aca="1" ref="O143" ca="1">_xlfn.IFS(K143="Pending",DAYS360(F143,J143),K143="Issued",DAYS360(F143,H143),K143="Withdrawn",DAYS360(F143,I143))</f>
        <v>#N/A</v>
      </c>
      <c r="P143" s="140" t="str">
        <f t="shared" si="9"/>
        <v>NA</v>
      </c>
      <c r="Q143" s="111"/>
      <c r="R143" s="112"/>
      <c r="S143" s="112"/>
      <c r="T143" s="112"/>
      <c r="U143" s="114"/>
    </row>
    <row r="144" spans="1:21" s="104" customFormat="1" ht="14" x14ac:dyDescent="0.15">
      <c r="A144" s="109"/>
      <c r="B144" s="109"/>
      <c r="C144" s="109"/>
      <c r="D144" s="109"/>
      <c r="E144" s="109"/>
      <c r="F144" s="110"/>
      <c r="G144" s="110"/>
      <c r="H144" s="110"/>
      <c r="I144" s="110"/>
      <c r="J144" s="138">
        <f t="shared" ca="1" si="8"/>
        <v>45103</v>
      </c>
      <c r="K144" s="110"/>
      <c r="L144" s="111">
        <v>0</v>
      </c>
      <c r="M144" s="111">
        <v>0</v>
      </c>
      <c r="N144" s="111">
        <v>0</v>
      </c>
      <c r="O144" s="140" t="e" cm="1">
        <f t="array" aca="1" ref="O144" ca="1">_xlfn.IFS(K144="Pending",DAYS360(F144,J144),K144="Issued",DAYS360(F144,H144),K144="Withdrawn",DAYS360(F144,I144))</f>
        <v>#N/A</v>
      </c>
      <c r="P144" s="140" t="str">
        <f t="shared" si="9"/>
        <v>NA</v>
      </c>
      <c r="Q144" s="111"/>
      <c r="R144" s="112"/>
      <c r="S144" s="112"/>
      <c r="T144" s="112"/>
      <c r="U144" s="114"/>
    </row>
    <row r="145" spans="1:21" s="104" customFormat="1" ht="14" x14ac:dyDescent="0.15">
      <c r="A145" s="109"/>
      <c r="B145" s="109"/>
      <c r="C145" s="109"/>
      <c r="D145" s="109"/>
      <c r="E145" s="109"/>
      <c r="F145" s="110"/>
      <c r="G145" s="110"/>
      <c r="H145" s="110"/>
      <c r="I145" s="110"/>
      <c r="J145" s="138">
        <f t="shared" ca="1" si="8"/>
        <v>45103</v>
      </c>
      <c r="K145" s="110"/>
      <c r="L145" s="111">
        <v>0</v>
      </c>
      <c r="M145" s="111">
        <v>0</v>
      </c>
      <c r="N145" s="111">
        <v>0</v>
      </c>
      <c r="O145" s="140" t="e" cm="1">
        <f t="array" aca="1" ref="O145" ca="1">_xlfn.IFS(K145="Pending",DAYS360(F145,J145),K145="Issued",DAYS360(F145,H145),K145="Withdrawn",DAYS360(F145,I145))</f>
        <v>#N/A</v>
      </c>
      <c r="P145" s="140" t="str">
        <f t="shared" si="9"/>
        <v>NA</v>
      </c>
      <c r="Q145" s="111"/>
      <c r="R145" s="112"/>
      <c r="S145" s="112"/>
      <c r="T145" s="112"/>
      <c r="U145" s="114"/>
    </row>
    <row r="146" spans="1:21" s="104" customFormat="1" ht="14" x14ac:dyDescent="0.15">
      <c r="A146" s="109"/>
      <c r="B146" s="109"/>
      <c r="C146" s="109"/>
      <c r="D146" s="109"/>
      <c r="E146" s="109"/>
      <c r="F146" s="110"/>
      <c r="G146" s="110"/>
      <c r="H146" s="110"/>
      <c r="I146" s="110"/>
      <c r="J146" s="138">
        <f t="shared" ca="1" si="8"/>
        <v>45103</v>
      </c>
      <c r="K146" s="110"/>
      <c r="L146" s="111">
        <v>0</v>
      </c>
      <c r="M146" s="111">
        <v>0</v>
      </c>
      <c r="N146" s="111">
        <v>0</v>
      </c>
      <c r="O146" s="140" t="e" cm="1">
        <f t="array" aca="1" ref="O146" ca="1">_xlfn.IFS(K146="Pending",DAYS360(F146,J146),K146="Issued",DAYS360(F146,H146),K146="Withdrawn",DAYS360(F146,I146))</f>
        <v>#N/A</v>
      </c>
      <c r="P146" s="140" t="str">
        <f t="shared" si="9"/>
        <v>NA</v>
      </c>
      <c r="Q146" s="111"/>
      <c r="R146" s="112"/>
      <c r="S146" s="112"/>
      <c r="T146" s="112"/>
      <c r="U146" s="114"/>
    </row>
    <row r="147" spans="1:21" s="104" customFormat="1" ht="14" x14ac:dyDescent="0.15">
      <c r="A147" s="109"/>
      <c r="B147" s="109"/>
      <c r="C147" s="109"/>
      <c r="D147" s="109"/>
      <c r="E147" s="109"/>
      <c r="F147" s="110"/>
      <c r="G147" s="110"/>
      <c r="H147" s="110"/>
      <c r="I147" s="110"/>
      <c r="J147" s="138">
        <f t="shared" ca="1" si="8"/>
        <v>45103</v>
      </c>
      <c r="K147" s="110"/>
      <c r="L147" s="111">
        <v>0</v>
      </c>
      <c r="M147" s="111">
        <v>0</v>
      </c>
      <c r="N147" s="111">
        <v>0</v>
      </c>
      <c r="O147" s="140" t="e" cm="1">
        <f t="array" aca="1" ref="O147" ca="1">_xlfn.IFS(K147="Pending",DAYS360(F147,J147),K147="Issued",DAYS360(F147,H147),K147="Withdrawn",DAYS360(F147,I147))</f>
        <v>#N/A</v>
      </c>
      <c r="P147" s="140" t="str">
        <f t="shared" si="9"/>
        <v>NA</v>
      </c>
      <c r="Q147" s="111"/>
      <c r="R147" s="112"/>
      <c r="S147" s="112"/>
      <c r="T147" s="112"/>
      <c r="U147" s="114"/>
    </row>
    <row r="148" spans="1:21" s="104" customFormat="1" ht="14" x14ac:dyDescent="0.15">
      <c r="A148" s="109"/>
      <c r="B148" s="109"/>
      <c r="C148" s="109"/>
      <c r="D148" s="109"/>
      <c r="E148" s="109"/>
      <c r="F148" s="110"/>
      <c r="G148" s="110"/>
      <c r="H148" s="110"/>
      <c r="I148" s="110"/>
      <c r="J148" s="138">
        <f t="shared" ca="1" si="8"/>
        <v>45103</v>
      </c>
      <c r="K148" s="110"/>
      <c r="L148" s="111">
        <v>0</v>
      </c>
      <c r="M148" s="111">
        <v>0</v>
      </c>
      <c r="N148" s="111">
        <v>0</v>
      </c>
      <c r="O148" s="140" t="e" cm="1">
        <f t="array" aca="1" ref="O148" ca="1">_xlfn.IFS(K148="Pending",DAYS360(F148,J148),K148="Issued",DAYS360(F148,H148),K148="Withdrawn",DAYS360(F148,I148))</f>
        <v>#N/A</v>
      </c>
      <c r="P148" s="140" t="str">
        <f t="shared" si="9"/>
        <v>NA</v>
      </c>
      <c r="Q148" s="111"/>
      <c r="R148" s="112"/>
      <c r="S148" s="112"/>
      <c r="T148" s="112"/>
      <c r="U148" s="114"/>
    </row>
    <row r="149" spans="1:21" s="104" customFormat="1" ht="14" x14ac:dyDescent="0.15">
      <c r="A149" s="109"/>
      <c r="B149" s="109"/>
      <c r="C149" s="109"/>
      <c r="D149" s="109"/>
      <c r="E149" s="109"/>
      <c r="F149" s="110"/>
      <c r="G149" s="110"/>
      <c r="H149" s="110"/>
      <c r="I149" s="110"/>
      <c r="J149" s="138">
        <f t="shared" ca="1" si="8"/>
        <v>45103</v>
      </c>
      <c r="K149" s="110"/>
      <c r="L149" s="111">
        <v>0</v>
      </c>
      <c r="M149" s="111">
        <v>0</v>
      </c>
      <c r="N149" s="111">
        <v>0</v>
      </c>
      <c r="O149" s="140" t="e" cm="1">
        <f t="array" aca="1" ref="O149" ca="1">_xlfn.IFS(K149="Pending",DAYS360(F149,J149),K149="Issued",DAYS360(F149,H149),K149="Withdrawn",DAYS360(F149,I149))</f>
        <v>#N/A</v>
      </c>
      <c r="P149" s="140" t="str">
        <f t="shared" si="9"/>
        <v>NA</v>
      </c>
      <c r="Q149" s="111"/>
      <c r="R149" s="112"/>
      <c r="S149" s="112"/>
      <c r="T149" s="112"/>
      <c r="U149" s="114"/>
    </row>
    <row r="150" spans="1:21" s="104" customFormat="1" ht="14" x14ac:dyDescent="0.15">
      <c r="A150" s="109"/>
      <c r="B150" s="109"/>
      <c r="C150" s="109"/>
      <c r="D150" s="109"/>
      <c r="E150" s="109"/>
      <c r="F150" s="110"/>
      <c r="G150" s="110"/>
      <c r="H150" s="110"/>
      <c r="I150" s="110"/>
      <c r="J150" s="138">
        <f t="shared" ca="1" si="8"/>
        <v>45103</v>
      </c>
      <c r="K150" s="110"/>
      <c r="L150" s="111">
        <v>0</v>
      </c>
      <c r="M150" s="111">
        <v>0</v>
      </c>
      <c r="N150" s="111">
        <v>0</v>
      </c>
      <c r="O150" s="140" t="e" cm="1">
        <f t="array" aca="1" ref="O150" ca="1">_xlfn.IFS(K150="Pending",DAYS360(F150,J150),K150="Issued",DAYS360(F150,H150),K150="Withdrawn",DAYS360(F150,I150))</f>
        <v>#N/A</v>
      </c>
      <c r="P150" s="140" t="str">
        <f t="shared" si="9"/>
        <v>NA</v>
      </c>
      <c r="Q150" s="111"/>
      <c r="R150" s="112"/>
      <c r="S150" s="112"/>
      <c r="T150" s="112"/>
      <c r="U150" s="114"/>
    </row>
    <row r="151" spans="1:21" s="104" customFormat="1" ht="14" x14ac:dyDescent="0.15">
      <c r="A151" s="109"/>
      <c r="B151" s="109"/>
      <c r="C151" s="109"/>
      <c r="D151" s="109"/>
      <c r="E151" s="109"/>
      <c r="F151" s="110"/>
      <c r="G151" s="110"/>
      <c r="H151" s="110"/>
      <c r="I151" s="110"/>
      <c r="J151" s="138">
        <f t="shared" ca="1" si="8"/>
        <v>45103</v>
      </c>
      <c r="K151" s="110"/>
      <c r="L151" s="111">
        <v>0</v>
      </c>
      <c r="M151" s="111">
        <v>0</v>
      </c>
      <c r="N151" s="111">
        <v>0</v>
      </c>
      <c r="O151" s="140" t="e" cm="1">
        <f t="array" aca="1" ref="O151" ca="1">_xlfn.IFS(K151="Pending",DAYS360(F151,J151),K151="Issued",DAYS360(F151,H151),K151="Withdrawn",DAYS360(F151,I151))</f>
        <v>#N/A</v>
      </c>
      <c r="P151" s="140" t="str">
        <f t="shared" si="9"/>
        <v>NA</v>
      </c>
      <c r="Q151" s="111"/>
      <c r="R151" s="112"/>
      <c r="S151" s="112"/>
      <c r="T151" s="112"/>
      <c r="U151" s="114"/>
    </row>
    <row r="152" spans="1:21" s="104" customFormat="1" ht="14" x14ac:dyDescent="0.15">
      <c r="A152" s="109"/>
      <c r="B152" s="109"/>
      <c r="C152" s="109"/>
      <c r="D152" s="109"/>
      <c r="E152" s="109"/>
      <c r="F152" s="110"/>
      <c r="G152" s="110"/>
      <c r="H152" s="110"/>
      <c r="I152" s="110"/>
      <c r="J152" s="138">
        <f t="shared" ca="1" si="8"/>
        <v>45103</v>
      </c>
      <c r="K152" s="110"/>
      <c r="L152" s="111">
        <v>0</v>
      </c>
      <c r="M152" s="111">
        <v>0</v>
      </c>
      <c r="N152" s="111">
        <v>0</v>
      </c>
      <c r="O152" s="140" t="e" cm="1">
        <f t="array" aca="1" ref="O152" ca="1">_xlfn.IFS(K152="Pending",DAYS360(F152,J152),K152="Issued",DAYS360(F152,H152),K152="Withdrawn",DAYS360(F152,I152))</f>
        <v>#N/A</v>
      </c>
      <c r="P152" s="140" t="str">
        <f t="shared" si="9"/>
        <v>NA</v>
      </c>
      <c r="Q152" s="111"/>
      <c r="R152" s="112"/>
      <c r="S152" s="112"/>
      <c r="T152" s="112"/>
      <c r="U152" s="114"/>
    </row>
    <row r="153" spans="1:21" s="104" customFormat="1" ht="14" x14ac:dyDescent="0.15">
      <c r="A153" s="109"/>
      <c r="B153" s="109"/>
      <c r="C153" s="109"/>
      <c r="D153" s="109"/>
      <c r="E153" s="109"/>
      <c r="F153" s="110"/>
      <c r="G153" s="110"/>
      <c r="H153" s="110"/>
      <c r="I153" s="110"/>
      <c r="J153" s="138">
        <f t="shared" ca="1" si="8"/>
        <v>45103</v>
      </c>
      <c r="K153" s="110"/>
      <c r="L153" s="111">
        <v>0</v>
      </c>
      <c r="M153" s="111">
        <v>0</v>
      </c>
      <c r="N153" s="111">
        <v>0</v>
      </c>
      <c r="O153" s="140" t="e" cm="1">
        <f t="array" aca="1" ref="O153" ca="1">_xlfn.IFS(K153="Pending",DAYS360(F153,J153),K153="Issued",DAYS360(F153,H153),K153="Withdrawn",DAYS360(F153,I153))</f>
        <v>#N/A</v>
      </c>
      <c r="P153" s="140" t="str">
        <f t="shared" si="9"/>
        <v>NA</v>
      </c>
      <c r="Q153" s="111"/>
      <c r="R153" s="112"/>
      <c r="S153" s="112"/>
      <c r="T153" s="112"/>
      <c r="U153" s="114"/>
    </row>
    <row r="154" spans="1:21" s="104" customFormat="1" ht="14" x14ac:dyDescent="0.15">
      <c r="A154" s="109"/>
      <c r="B154" s="109"/>
      <c r="C154" s="109"/>
      <c r="D154" s="109"/>
      <c r="E154" s="109"/>
      <c r="F154" s="110"/>
      <c r="G154" s="110"/>
      <c r="H154" s="110"/>
      <c r="I154" s="110"/>
      <c r="J154" s="138">
        <f t="shared" ca="1" si="8"/>
        <v>45103</v>
      </c>
      <c r="K154" s="110"/>
      <c r="L154" s="111">
        <v>0</v>
      </c>
      <c r="M154" s="111">
        <v>0</v>
      </c>
      <c r="N154" s="111">
        <v>0</v>
      </c>
      <c r="O154" s="140" t="e" cm="1">
        <f t="array" aca="1" ref="O154" ca="1">_xlfn.IFS(K154="Pending",DAYS360(F154,J154),K154="Issued",DAYS360(F154,H154),K154="Withdrawn",DAYS360(F154,I154))</f>
        <v>#N/A</v>
      </c>
      <c r="P154" s="140" t="str">
        <f t="shared" si="9"/>
        <v>NA</v>
      </c>
      <c r="Q154" s="111"/>
      <c r="R154" s="112"/>
      <c r="S154" s="112"/>
      <c r="T154" s="112"/>
      <c r="U154" s="114"/>
    </row>
    <row r="155" spans="1:21" s="104" customFormat="1" ht="14" x14ac:dyDescent="0.15">
      <c r="A155" s="109"/>
      <c r="B155" s="109"/>
      <c r="C155" s="109"/>
      <c r="D155" s="109"/>
      <c r="E155" s="109"/>
      <c r="F155" s="110"/>
      <c r="G155" s="110"/>
      <c r="H155" s="110"/>
      <c r="I155" s="110"/>
      <c r="J155" s="138">
        <f t="shared" ca="1" si="8"/>
        <v>45103</v>
      </c>
      <c r="K155" s="110"/>
      <c r="L155" s="111">
        <v>0</v>
      </c>
      <c r="M155" s="111">
        <v>0</v>
      </c>
      <c r="N155" s="111">
        <v>0</v>
      </c>
      <c r="O155" s="140" t="e" cm="1">
        <f t="array" aca="1" ref="O155" ca="1">_xlfn.IFS(K155="Pending",DAYS360(F155,J155),K155="Issued",DAYS360(F155,H155),K155="Withdrawn",DAYS360(F155,I155))</f>
        <v>#N/A</v>
      </c>
      <c r="P155" s="140" t="str">
        <f t="shared" si="9"/>
        <v>NA</v>
      </c>
      <c r="Q155" s="111"/>
      <c r="R155" s="112"/>
      <c r="S155" s="112"/>
      <c r="T155" s="112"/>
      <c r="U155" s="114"/>
    </row>
    <row r="156" spans="1:21" s="104" customFormat="1" ht="14" x14ac:dyDescent="0.15">
      <c r="A156" s="109"/>
      <c r="B156" s="109"/>
      <c r="C156" s="109"/>
      <c r="D156" s="109"/>
      <c r="E156" s="109"/>
      <c r="F156" s="110"/>
      <c r="G156" s="110"/>
      <c r="H156" s="110"/>
      <c r="I156" s="110"/>
      <c r="J156" s="138">
        <f t="shared" ca="1" si="8"/>
        <v>45103</v>
      </c>
      <c r="K156" s="110"/>
      <c r="L156" s="111">
        <v>0</v>
      </c>
      <c r="M156" s="111">
        <v>0</v>
      </c>
      <c r="N156" s="111">
        <v>0</v>
      </c>
      <c r="O156" s="140" t="e" cm="1">
        <f t="array" aca="1" ref="O156" ca="1">_xlfn.IFS(K156="Pending",DAYS360(F156,J156),K156="Issued",DAYS360(F156,H156),K156="Withdrawn",DAYS360(F156,I156))</f>
        <v>#N/A</v>
      </c>
      <c r="P156" s="140" t="str">
        <f t="shared" si="9"/>
        <v>NA</v>
      </c>
      <c r="Q156" s="111"/>
      <c r="R156" s="112"/>
      <c r="S156" s="112"/>
      <c r="T156" s="112"/>
      <c r="U156" s="114"/>
    </row>
    <row r="157" spans="1:21" s="104" customFormat="1" ht="14" x14ac:dyDescent="0.15">
      <c r="A157" s="109"/>
      <c r="B157" s="109"/>
      <c r="C157" s="109"/>
      <c r="D157" s="109"/>
      <c r="E157" s="109"/>
      <c r="F157" s="110"/>
      <c r="G157" s="110"/>
      <c r="H157" s="110"/>
      <c r="I157" s="110"/>
      <c r="J157" s="138">
        <f t="shared" ca="1" si="8"/>
        <v>45103</v>
      </c>
      <c r="K157" s="110"/>
      <c r="L157" s="111">
        <v>0</v>
      </c>
      <c r="M157" s="111">
        <v>0</v>
      </c>
      <c r="N157" s="111">
        <v>0</v>
      </c>
      <c r="O157" s="140" t="e" cm="1">
        <f t="array" aca="1" ref="O157" ca="1">_xlfn.IFS(K157="Pending",DAYS360(F157,J157),K157="Issued",DAYS360(F157,H157),K157="Withdrawn",DAYS360(F157,I157))</f>
        <v>#N/A</v>
      </c>
      <c r="P157" s="140" t="str">
        <f t="shared" si="9"/>
        <v>NA</v>
      </c>
      <c r="Q157" s="111"/>
      <c r="R157" s="112"/>
      <c r="S157" s="112"/>
      <c r="T157" s="112"/>
      <c r="U157" s="114"/>
    </row>
    <row r="158" spans="1:21" s="104" customFormat="1" ht="14" x14ac:dyDescent="0.15">
      <c r="A158" s="120" t="s">
        <v>6</v>
      </c>
      <c r="B158" s="120"/>
      <c r="C158" s="120"/>
      <c r="D158" s="121"/>
      <c r="E158" s="121"/>
      <c r="F158" s="121"/>
      <c r="G158" s="121"/>
      <c r="H158" s="121"/>
      <c r="I158" s="121"/>
      <c r="J158" s="122"/>
      <c r="K158" s="122"/>
      <c r="L158" s="123">
        <f>SUM(L1:L42)</f>
        <v>1336500</v>
      </c>
      <c r="M158" s="123">
        <f>SUM(M1:M42)</f>
        <v>8820000</v>
      </c>
      <c r="N158" s="124">
        <f>SUM(N1:N42)</f>
        <v>7965130.25</v>
      </c>
      <c r="O158" s="124"/>
      <c r="P158" s="125"/>
      <c r="Q158" s="124"/>
      <c r="R158" s="124"/>
      <c r="S158" s="124"/>
      <c r="T158" s="124"/>
      <c r="U158" s="126"/>
    </row>
    <row r="159" spans="1:21" s="104" customFormat="1" ht="14" x14ac:dyDescent="0.15">
      <c r="A159" s="127"/>
      <c r="B159" s="127"/>
      <c r="C159" s="127"/>
      <c r="D159" s="127"/>
      <c r="E159" s="127"/>
      <c r="F159" s="127"/>
      <c r="G159" s="127"/>
      <c r="H159" s="127"/>
      <c r="M159" s="128"/>
      <c r="N159" s="128"/>
      <c r="O159" s="128"/>
      <c r="P159" s="128"/>
      <c r="Q159" s="128"/>
      <c r="U159" s="129"/>
    </row>
    <row r="160" spans="1:21" s="104" customFormat="1" ht="14" x14ac:dyDescent="0.15">
      <c r="A160" s="337" t="s">
        <v>7</v>
      </c>
      <c r="B160" s="338"/>
      <c r="C160" s="338"/>
      <c r="D160" s="338"/>
      <c r="E160" s="135"/>
      <c r="F160" s="130" t="s">
        <v>8</v>
      </c>
      <c r="G160" s="127"/>
      <c r="H160" s="127"/>
      <c r="M160" s="128"/>
      <c r="N160" s="128"/>
      <c r="O160" s="128"/>
      <c r="P160" s="128"/>
      <c r="Q160" s="128"/>
      <c r="U160" s="129"/>
    </row>
    <row r="161" spans="1:21" s="104" customFormat="1" ht="14" x14ac:dyDescent="0.15">
      <c r="A161" s="336" t="s">
        <v>9</v>
      </c>
      <c r="B161" s="335"/>
      <c r="C161" s="335"/>
      <c r="D161" s="335"/>
      <c r="E161" s="335"/>
      <c r="F161" s="131" t="s">
        <v>8</v>
      </c>
      <c r="G161" s="127"/>
      <c r="H161" s="127"/>
      <c r="U161" s="129"/>
    </row>
    <row r="162" spans="1:21" s="104" customFormat="1" ht="14" x14ac:dyDescent="0.15">
      <c r="A162" s="136"/>
      <c r="B162" s="137"/>
      <c r="C162" s="339" t="s">
        <v>10</v>
      </c>
      <c r="D162" s="340"/>
      <c r="E162" s="340"/>
      <c r="F162" s="132"/>
      <c r="G162" s="127"/>
      <c r="H162" s="127"/>
      <c r="U162" s="129"/>
    </row>
    <row r="163" spans="1:21" s="104" customFormat="1" ht="13" x14ac:dyDescent="0.15">
      <c r="A163" s="127"/>
      <c r="B163" s="127"/>
      <c r="C163" s="127"/>
      <c r="D163" s="127"/>
      <c r="E163" s="127"/>
      <c r="F163" s="127"/>
      <c r="G163" s="127"/>
      <c r="H163" s="127"/>
      <c r="U163" s="129"/>
    </row>
    <row r="165" spans="1:21" x14ac:dyDescent="0.2">
      <c r="A165" s="335" t="s">
        <v>11</v>
      </c>
      <c r="B165" s="335"/>
      <c r="C165" s="335"/>
    </row>
  </sheetData>
  <sheetProtection sheet="1" objects="1" scenarios="1" selectLockedCells="1"/>
  <mergeCells count="5">
    <mergeCell ref="A165:C165"/>
    <mergeCell ref="A161:E161"/>
    <mergeCell ref="A160:D160"/>
    <mergeCell ref="C162:E162"/>
    <mergeCell ref="A1:U1"/>
  </mergeCells>
  <pageMargins left="0.7" right="0.7" top="0.75" bottom="0.75" header="0.3" footer="0.3"/>
  <pageSetup orientation="portrait" verticalDpi="597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35B4B88-29C1-402B-8F7D-9FB800428463}">
          <x14:formula1>
            <xm:f>'Data Source'!$D$6:$D$25</xm:f>
          </x14:formula1>
          <xm:sqref>S3:S10 S33:S158</xm:sqref>
        </x14:dataValidation>
        <x14:dataValidation type="list" allowBlank="1" showInputMessage="1" showErrorMessage="1" xr:uid="{781AA130-B35A-449C-BE98-0C1E117B4DC0}">
          <x14:formula1>
            <xm:f>'Data Source'!$D$6:$D$26</xm:f>
          </x14:formula1>
          <xm:sqref>S11:S32</xm:sqref>
        </x14:dataValidation>
        <x14:dataValidation type="list" allowBlank="1" showInputMessage="1" showErrorMessage="1" xr:uid="{4B4597AA-6F17-41E9-8514-CE6D199F578F}">
          <x14:formula1>
            <xm:f>'Data Source'!$B$6:$B$9</xm:f>
          </x14:formula1>
          <xm:sqref>A3:A158</xm:sqref>
        </x14:dataValidation>
        <x14:dataValidation type="list" allowBlank="1" showInputMessage="1" showErrorMessage="1" xr:uid="{61B423B0-1A1C-4A0B-B620-35E290746D1E}">
          <x14:formula1>
            <xm:f>'Data Source'!$A$6:$A$9</xm:f>
          </x14:formula1>
          <xm:sqref>D3:D158</xm:sqref>
        </x14:dataValidation>
        <x14:dataValidation type="list" allowBlank="1" showInputMessage="1" showErrorMessage="1" xr:uid="{2D344F2D-2C4D-4391-AD69-1EAC6C67DF52}">
          <x14:formula1>
            <xm:f>'Data Source'!$C$6:$C$9</xm:f>
          </x14:formula1>
          <xm:sqref>R3:R158</xm:sqref>
        </x14:dataValidation>
        <x14:dataValidation type="list" allowBlank="1" showInputMessage="1" showErrorMessage="1" xr:uid="{AA3AAAEF-C040-42F8-B9E8-730ADB3AEAC5}">
          <x14:formula1>
            <xm:f>'Data Source'!$E$6:$E$10</xm:f>
          </x14:formula1>
          <xm:sqref>T3:T158</xm:sqref>
        </x14:dataValidation>
        <x14:dataValidation type="list" allowBlank="1" showInputMessage="1" showErrorMessage="1" xr:uid="{F45133C1-C643-48AE-A324-0C885198DA4B}">
          <x14:formula1>
            <xm:f>'Data Source'!$G$6:$G$8</xm:f>
          </x14:formula1>
          <xm:sqref>K3:K158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FA6D9-2ED4-4786-957A-55E63A613245}">
  <sheetPr codeName="Sheet5"/>
  <dimension ref="A1:Q109"/>
  <sheetViews>
    <sheetView zoomScale="90" zoomScaleNormal="90" workbookViewId="0">
      <selection activeCell="C6" sqref="C6"/>
    </sheetView>
  </sheetViews>
  <sheetFormatPr baseColWidth="10" defaultColWidth="8.6640625" defaultRowHeight="15" x14ac:dyDescent="0.2"/>
  <cols>
    <col min="1" max="1" width="17" style="133" customWidth="1"/>
    <col min="2" max="2" width="20" style="133" bestFit="1" customWidth="1"/>
    <col min="3" max="3" width="19.6640625" style="133" customWidth="1"/>
    <col min="4" max="4" width="13" style="133" bestFit="1" customWidth="1"/>
    <col min="5" max="5" width="20.1640625" style="133" customWidth="1"/>
    <col min="6" max="6" width="15.6640625" style="133" bestFit="1" customWidth="1"/>
    <col min="7" max="7" width="15.33203125" style="133" bestFit="1" customWidth="1"/>
    <col min="8" max="8" width="11.33203125" style="133" bestFit="1" customWidth="1"/>
    <col min="9" max="9" width="13.1640625" style="117" bestFit="1" customWidth="1"/>
    <col min="10" max="10" width="13.83203125" style="117" bestFit="1" customWidth="1"/>
    <col min="11" max="11" width="16.83203125" style="117" bestFit="1" customWidth="1"/>
    <col min="12" max="12" width="9" style="117" bestFit="1" customWidth="1"/>
    <col min="13" max="13" width="54.1640625" style="117" customWidth="1"/>
    <col min="14" max="16" width="14.33203125" style="117" customWidth="1"/>
    <col min="17" max="17" width="50.6640625" style="117" customWidth="1"/>
    <col min="18" max="16384" width="8.6640625" style="117"/>
  </cols>
  <sheetData>
    <row r="1" spans="1:17" ht="26" thickBot="1" x14ac:dyDescent="0.3">
      <c r="A1" s="343" t="s">
        <v>215</v>
      </c>
      <c r="B1" s="344"/>
      <c r="C1" s="141"/>
      <c r="D1" s="141"/>
      <c r="E1" s="141"/>
      <c r="F1" s="141"/>
      <c r="G1" s="141"/>
      <c r="H1" s="141"/>
      <c r="I1" s="142"/>
    </row>
    <row r="2" spans="1:17" ht="21" customHeight="1" thickBot="1" x14ac:dyDescent="0.25">
      <c r="A2" s="160" t="s">
        <v>35</v>
      </c>
      <c r="B2" s="161" t="s">
        <v>25</v>
      </c>
      <c r="C2" s="143"/>
      <c r="D2" s="144"/>
      <c r="E2" s="143"/>
      <c r="F2" s="143"/>
      <c r="G2" s="143"/>
      <c r="H2" s="143"/>
      <c r="I2" s="145"/>
    </row>
    <row r="3" spans="1:17" x14ac:dyDescent="0.2">
      <c r="A3" s="3" t="str">
        <f>'Data Source'!C6</f>
        <v>HS</v>
      </c>
      <c r="B3" s="162">
        <f t="shared" ref="B3:B9" si="0">COUNTIFS($F$14:$F$106,"*",$L$14:$L$106,A3)</f>
        <v>4</v>
      </c>
      <c r="C3" s="146"/>
      <c r="D3" s="147"/>
      <c r="E3" s="147"/>
      <c r="F3" s="147"/>
      <c r="G3" s="147"/>
      <c r="H3" s="147"/>
      <c r="I3" s="147"/>
    </row>
    <row r="4" spans="1:17" x14ac:dyDescent="0.2">
      <c r="A4" s="3" t="str">
        <f>'Data Source'!C7</f>
        <v>LB</v>
      </c>
      <c r="B4" s="162">
        <f t="shared" si="0"/>
        <v>2</v>
      </c>
      <c r="C4" s="146"/>
      <c r="D4" s="147"/>
      <c r="E4" s="147"/>
      <c r="F4" s="147"/>
      <c r="G4" s="147"/>
      <c r="H4" s="147"/>
      <c r="I4" s="147"/>
    </row>
    <row r="5" spans="1:17" x14ac:dyDescent="0.2">
      <c r="A5" s="3" t="str">
        <f>'Data Source'!C8</f>
        <v>MD</v>
      </c>
      <c r="B5" s="162">
        <f t="shared" si="0"/>
        <v>2</v>
      </c>
      <c r="C5" s="146"/>
      <c r="D5" s="147"/>
      <c r="E5" s="147"/>
      <c r="F5" s="147"/>
      <c r="G5" s="147"/>
      <c r="H5" s="147"/>
      <c r="I5" s="147"/>
    </row>
    <row r="6" spans="1:17" x14ac:dyDescent="0.2">
      <c r="A6" s="3" t="str">
        <f>'Data Source'!C9</f>
        <v>RD</v>
      </c>
      <c r="B6" s="162">
        <f t="shared" si="0"/>
        <v>1</v>
      </c>
      <c r="C6" s="146"/>
      <c r="D6" s="147"/>
      <c r="E6" s="147"/>
      <c r="F6" s="147"/>
      <c r="G6" s="147"/>
      <c r="H6" s="147"/>
      <c r="I6" s="147"/>
    </row>
    <row r="7" spans="1:17" x14ac:dyDescent="0.2">
      <c r="A7" s="3">
        <f>'Data Source'!C10</f>
        <v>0</v>
      </c>
      <c r="B7" s="162">
        <f t="shared" si="0"/>
        <v>0</v>
      </c>
      <c r="C7" s="146"/>
      <c r="D7" s="147"/>
      <c r="E7" s="147"/>
      <c r="F7" s="147"/>
      <c r="G7" s="147"/>
      <c r="H7" s="147"/>
      <c r="I7" s="147"/>
    </row>
    <row r="8" spans="1:17" x14ac:dyDescent="0.2">
      <c r="A8" s="3">
        <f>'Data Source'!C11</f>
        <v>0</v>
      </c>
      <c r="B8" s="162">
        <f t="shared" si="0"/>
        <v>0</v>
      </c>
      <c r="C8" s="146"/>
      <c r="D8" s="147"/>
      <c r="E8" s="147"/>
      <c r="F8" s="147"/>
      <c r="G8" s="147"/>
      <c r="H8" s="147"/>
      <c r="I8" s="147"/>
    </row>
    <row r="9" spans="1:17" ht="16" thickBot="1" x14ac:dyDescent="0.25">
      <c r="A9" s="3">
        <f>'Data Source'!C12</f>
        <v>0</v>
      </c>
      <c r="B9" s="162">
        <f t="shared" si="0"/>
        <v>0</v>
      </c>
      <c r="C9" s="146"/>
      <c r="D9" s="147"/>
      <c r="E9" s="147"/>
      <c r="F9" s="147"/>
      <c r="G9" s="147"/>
      <c r="H9" s="147"/>
      <c r="I9" s="147"/>
    </row>
    <row r="10" spans="1:17" ht="17" thickBot="1" x14ac:dyDescent="0.25">
      <c r="A10" s="5" t="s">
        <v>34</v>
      </c>
      <c r="B10" s="163">
        <f>SUM(B3:B6)</f>
        <v>9</v>
      </c>
      <c r="C10" s="148"/>
      <c r="D10" s="149"/>
      <c r="E10" s="150"/>
      <c r="F10" s="150"/>
      <c r="G10" s="150"/>
      <c r="H10" s="150"/>
      <c r="I10" s="150"/>
    </row>
    <row r="11" spans="1:17" ht="16" thickBot="1" x14ac:dyDescent="0.25"/>
    <row r="12" spans="1:17" s="165" customFormat="1" ht="29" thickBot="1" x14ac:dyDescent="0.2">
      <c r="A12" s="345" t="s">
        <v>215</v>
      </c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7"/>
      <c r="N12" s="164"/>
      <c r="O12" s="164"/>
      <c r="P12" s="164"/>
      <c r="Q12" s="164"/>
    </row>
    <row r="13" spans="1:17" s="165" customFormat="1" ht="31" thickBot="1" x14ac:dyDescent="0.2">
      <c r="A13" s="166" t="s">
        <v>16</v>
      </c>
      <c r="B13" s="167" t="s">
        <v>14</v>
      </c>
      <c r="C13" s="167" t="s">
        <v>15</v>
      </c>
      <c r="D13" s="167" t="s">
        <v>118</v>
      </c>
      <c r="E13" s="167" t="s">
        <v>1</v>
      </c>
      <c r="F13" s="167" t="s">
        <v>116</v>
      </c>
      <c r="G13" s="167" t="s">
        <v>2</v>
      </c>
      <c r="H13" s="167" t="s">
        <v>93</v>
      </c>
      <c r="I13" s="167" t="s">
        <v>4</v>
      </c>
      <c r="J13" s="167" t="s">
        <v>5</v>
      </c>
      <c r="K13" s="167" t="s">
        <v>20</v>
      </c>
      <c r="L13" s="167" t="s">
        <v>35</v>
      </c>
      <c r="M13" s="168" t="s">
        <v>55</v>
      </c>
    </row>
    <row r="14" spans="1:17" s="104" customFormat="1" ht="14" x14ac:dyDescent="0.15">
      <c r="A14" s="116" t="s">
        <v>17</v>
      </c>
      <c r="B14" s="109" t="s">
        <v>18</v>
      </c>
      <c r="C14" s="109" t="s">
        <v>19</v>
      </c>
      <c r="D14" s="109" t="s">
        <v>12</v>
      </c>
      <c r="E14" s="109" t="s">
        <v>13</v>
      </c>
      <c r="F14" s="109" t="s">
        <v>136</v>
      </c>
      <c r="G14" s="110">
        <v>44616</v>
      </c>
      <c r="H14" s="110">
        <v>44617</v>
      </c>
      <c r="I14" s="138">
        <f t="shared" ref="I14:I106" ca="1" si="1">TODAY()</f>
        <v>45103</v>
      </c>
      <c r="J14" s="140">
        <f ca="1">IF(Table1632[[#This Row],[Date
Client Signed]],DAYS360(G14,I14)," ")</f>
        <v>482</v>
      </c>
      <c r="K14" s="115">
        <v>44624</v>
      </c>
      <c r="L14" s="112" t="s">
        <v>51</v>
      </c>
      <c r="M14" s="151" t="s">
        <v>142</v>
      </c>
    </row>
    <row r="15" spans="1:17" s="104" customFormat="1" ht="14" x14ac:dyDescent="0.15">
      <c r="A15" s="116" t="s">
        <v>31</v>
      </c>
      <c r="B15" s="109" t="s">
        <v>32</v>
      </c>
      <c r="C15" s="109" t="s">
        <v>119</v>
      </c>
      <c r="D15" s="109" t="s">
        <v>23</v>
      </c>
      <c r="E15" s="109" t="s">
        <v>131</v>
      </c>
      <c r="F15" s="109" t="s">
        <v>117</v>
      </c>
      <c r="G15" s="110">
        <v>44621</v>
      </c>
      <c r="H15" s="110">
        <v>44621</v>
      </c>
      <c r="I15" s="138">
        <f t="shared" ca="1" si="1"/>
        <v>45103</v>
      </c>
      <c r="J15" s="140">
        <f ca="1">IF(Table1632[[#This Row],[Date
Client Signed]],DAYS360(G15,I15)," ")</f>
        <v>475</v>
      </c>
      <c r="K15" s="112"/>
      <c r="L15" s="112" t="s">
        <v>52</v>
      </c>
      <c r="M15" s="151"/>
    </row>
    <row r="16" spans="1:17" s="104" customFormat="1" ht="14" x14ac:dyDescent="0.15">
      <c r="A16" s="116" t="s">
        <v>31</v>
      </c>
      <c r="B16" s="109" t="s">
        <v>32</v>
      </c>
      <c r="C16" s="109" t="s">
        <v>119</v>
      </c>
      <c r="D16" s="109" t="s">
        <v>23</v>
      </c>
      <c r="E16" s="109" t="s">
        <v>132</v>
      </c>
      <c r="F16" s="109" t="s">
        <v>117</v>
      </c>
      <c r="G16" s="110">
        <v>44621</v>
      </c>
      <c r="H16" s="110">
        <v>44621</v>
      </c>
      <c r="I16" s="138">
        <f t="shared" ca="1" si="1"/>
        <v>45103</v>
      </c>
      <c r="J16" s="140">
        <f ca="1">IF(Table1632[[#This Row],[Date
Client Signed]],DAYS360(G16,I16)," ")</f>
        <v>475</v>
      </c>
      <c r="K16" s="112"/>
      <c r="L16" s="112" t="s">
        <v>52</v>
      </c>
      <c r="M16" s="151"/>
    </row>
    <row r="17" spans="1:13" s="104" customFormat="1" ht="14" x14ac:dyDescent="0.15">
      <c r="A17" s="116" t="s">
        <v>31</v>
      </c>
      <c r="B17" s="109" t="s">
        <v>32</v>
      </c>
      <c r="C17" s="109" t="s">
        <v>119</v>
      </c>
      <c r="D17" s="109" t="s">
        <v>12</v>
      </c>
      <c r="E17" s="109" t="s">
        <v>13</v>
      </c>
      <c r="F17" s="109" t="s">
        <v>117</v>
      </c>
      <c r="G17" s="110">
        <v>44621</v>
      </c>
      <c r="H17" s="110">
        <v>44621</v>
      </c>
      <c r="I17" s="138">
        <f t="shared" ca="1" si="1"/>
        <v>45103</v>
      </c>
      <c r="J17" s="140">
        <f ca="1">IF(Table1632[[#This Row],[Date
Client Signed]],DAYS360(G17,I17)," ")</f>
        <v>475</v>
      </c>
      <c r="K17" s="112"/>
      <c r="L17" s="112" t="s">
        <v>52</v>
      </c>
      <c r="M17" s="151"/>
    </row>
    <row r="18" spans="1:13" s="104" customFormat="1" ht="14" x14ac:dyDescent="0.15">
      <c r="A18" s="116" t="s">
        <v>17</v>
      </c>
      <c r="B18" s="109" t="s">
        <v>121</v>
      </c>
      <c r="C18" s="109" t="s">
        <v>122</v>
      </c>
      <c r="D18" s="109" t="s">
        <v>23</v>
      </c>
      <c r="E18" s="109" t="s">
        <v>133</v>
      </c>
      <c r="F18" s="109" t="s">
        <v>138</v>
      </c>
      <c r="G18" s="110">
        <v>44623</v>
      </c>
      <c r="H18" s="110">
        <v>44623</v>
      </c>
      <c r="I18" s="138">
        <f t="shared" ca="1" si="1"/>
        <v>45103</v>
      </c>
      <c r="J18" s="140">
        <f ca="1">IF(Table1632[[#This Row],[Date
Client Signed]],DAYS360(G18,I18)," ")</f>
        <v>473</v>
      </c>
      <c r="K18" s="112"/>
      <c r="L18" s="112" t="s">
        <v>54</v>
      </c>
      <c r="M18" s="151"/>
    </row>
    <row r="19" spans="1:13" s="104" customFormat="1" ht="14" x14ac:dyDescent="0.15">
      <c r="A19" s="116" t="s">
        <v>32</v>
      </c>
      <c r="B19" s="109" t="s">
        <v>123</v>
      </c>
      <c r="C19" s="109" t="s">
        <v>124</v>
      </c>
      <c r="D19" s="109" t="s">
        <v>12</v>
      </c>
      <c r="E19" s="109" t="s">
        <v>13</v>
      </c>
      <c r="F19" s="109" t="s">
        <v>137</v>
      </c>
      <c r="G19" s="110">
        <v>44623</v>
      </c>
      <c r="H19" s="110">
        <v>44624</v>
      </c>
      <c r="I19" s="138">
        <f t="shared" ca="1" si="1"/>
        <v>45103</v>
      </c>
      <c r="J19" s="140">
        <f ca="1">IF(Table1632[[#This Row],[Date
Client Signed]],DAYS360(G19,I19)," ")</f>
        <v>473</v>
      </c>
      <c r="K19" s="112"/>
      <c r="L19" s="112" t="s">
        <v>53</v>
      </c>
      <c r="M19" s="151"/>
    </row>
    <row r="20" spans="1:13" s="104" customFormat="1" ht="14" x14ac:dyDescent="0.15">
      <c r="A20" s="116" t="s">
        <v>31</v>
      </c>
      <c r="B20" s="109" t="s">
        <v>126</v>
      </c>
      <c r="C20" s="109" t="s">
        <v>125</v>
      </c>
      <c r="D20" s="109" t="s">
        <v>56</v>
      </c>
      <c r="E20" s="109" t="s">
        <v>134</v>
      </c>
      <c r="F20" s="109" t="s">
        <v>139</v>
      </c>
      <c r="G20" s="110">
        <v>44624</v>
      </c>
      <c r="H20" s="110">
        <v>44624</v>
      </c>
      <c r="I20" s="138">
        <f t="shared" ca="1" si="1"/>
        <v>45103</v>
      </c>
      <c r="J20" s="140">
        <f ca="1">IF(Table1632[[#This Row],[Date
Client Signed]],DAYS360(G20,I20)," ")</f>
        <v>472</v>
      </c>
      <c r="K20" s="112"/>
      <c r="L20" s="112" t="s">
        <v>54</v>
      </c>
      <c r="M20" s="151"/>
    </row>
    <row r="21" spans="1:13" s="104" customFormat="1" ht="14" x14ac:dyDescent="0.15">
      <c r="A21" s="116" t="s">
        <v>17</v>
      </c>
      <c r="B21" s="109" t="s">
        <v>127</v>
      </c>
      <c r="C21" s="109" t="s">
        <v>128</v>
      </c>
      <c r="D21" s="109" t="s">
        <v>12</v>
      </c>
      <c r="E21" s="109" t="s">
        <v>13</v>
      </c>
      <c r="F21" s="109" t="s">
        <v>140</v>
      </c>
      <c r="G21" s="110">
        <v>44627</v>
      </c>
      <c r="H21" s="110">
        <v>44627</v>
      </c>
      <c r="I21" s="138">
        <f t="shared" ca="1" si="1"/>
        <v>45103</v>
      </c>
      <c r="J21" s="140">
        <f ca="1">IF(Table1632[[#This Row],[Date
Client Signed]],DAYS360(G21,I21)," ")</f>
        <v>469</v>
      </c>
      <c r="K21" s="112"/>
      <c r="L21" s="112" t="s">
        <v>52</v>
      </c>
      <c r="M21" s="151"/>
    </row>
    <row r="22" spans="1:13" s="104" customFormat="1" ht="14" x14ac:dyDescent="0.15">
      <c r="A22" s="116" t="s">
        <v>31</v>
      </c>
      <c r="B22" s="109" t="s">
        <v>129</v>
      </c>
      <c r="C22" s="109" t="s">
        <v>130</v>
      </c>
      <c r="D22" s="109" t="s">
        <v>24</v>
      </c>
      <c r="E22" s="109" t="s">
        <v>135</v>
      </c>
      <c r="F22" s="109" t="s">
        <v>141</v>
      </c>
      <c r="G22" s="110">
        <v>44627</v>
      </c>
      <c r="H22" s="110">
        <v>44627</v>
      </c>
      <c r="I22" s="138">
        <f t="shared" ca="1" si="1"/>
        <v>45103</v>
      </c>
      <c r="J22" s="140">
        <f ca="1">IF(Table1632[[#This Row],[Date
Client Signed]],DAYS360(G22,I22)," ")</f>
        <v>469</v>
      </c>
      <c r="K22" s="112"/>
      <c r="L22" s="112" t="s">
        <v>53</v>
      </c>
      <c r="M22" s="151"/>
    </row>
    <row r="23" spans="1:13" s="104" customFormat="1" ht="14" x14ac:dyDescent="0.15">
      <c r="A23" s="116"/>
      <c r="B23" s="109"/>
      <c r="C23" s="109"/>
      <c r="D23" s="109"/>
      <c r="E23" s="109"/>
      <c r="F23" s="109"/>
      <c r="G23" s="110"/>
      <c r="H23" s="110"/>
      <c r="I23" s="138">
        <f t="shared" ca="1" si="1"/>
        <v>45103</v>
      </c>
      <c r="J23" s="140" t="str">
        <f>IF(Table1632[[#This Row],[Date
Client Signed]],DAYS360(G23,I23)," ")</f>
        <v xml:space="preserve"> </v>
      </c>
      <c r="K23" s="112"/>
      <c r="L23" s="112"/>
      <c r="M23" s="151"/>
    </row>
    <row r="24" spans="1:13" s="104" customFormat="1" ht="14" x14ac:dyDescent="0.15">
      <c r="A24" s="116"/>
      <c r="B24" s="109"/>
      <c r="C24" s="109"/>
      <c r="D24" s="109"/>
      <c r="E24" s="109"/>
      <c r="F24" s="109"/>
      <c r="G24" s="110"/>
      <c r="H24" s="110"/>
      <c r="I24" s="138">
        <f t="shared" ca="1" si="1"/>
        <v>45103</v>
      </c>
      <c r="J24" s="140" t="str">
        <f>IF(Table1632[[#This Row],[Date
Client Signed]],DAYS360(G24,I24)," ")</f>
        <v xml:space="preserve"> </v>
      </c>
      <c r="K24" s="112"/>
      <c r="L24" s="112"/>
      <c r="M24" s="151"/>
    </row>
    <row r="25" spans="1:13" s="104" customFormat="1" ht="14" x14ac:dyDescent="0.15">
      <c r="A25" s="116"/>
      <c r="B25" s="109"/>
      <c r="C25" s="109"/>
      <c r="D25" s="109"/>
      <c r="E25" s="109"/>
      <c r="F25" s="109"/>
      <c r="G25" s="110"/>
      <c r="H25" s="110"/>
      <c r="I25" s="138">
        <f t="shared" ca="1" si="1"/>
        <v>45103</v>
      </c>
      <c r="J25" s="140" t="str">
        <f>IF(Table1632[[#This Row],[Date
Client Signed]],DAYS360(G25,I25)," ")</f>
        <v xml:space="preserve"> </v>
      </c>
      <c r="K25" s="112"/>
      <c r="L25" s="112"/>
      <c r="M25" s="151"/>
    </row>
    <row r="26" spans="1:13" s="104" customFormat="1" ht="14" x14ac:dyDescent="0.15">
      <c r="A26" s="116"/>
      <c r="B26" s="109"/>
      <c r="C26" s="109"/>
      <c r="D26" s="109"/>
      <c r="E26" s="109"/>
      <c r="F26" s="109"/>
      <c r="G26" s="110"/>
      <c r="H26" s="110"/>
      <c r="I26" s="138">
        <f t="shared" ca="1" si="1"/>
        <v>45103</v>
      </c>
      <c r="J26" s="140" t="str">
        <f>IF(Table1632[[#This Row],[Date
Client Signed]],DAYS360(G26,I26)," ")</f>
        <v xml:space="preserve"> </v>
      </c>
      <c r="K26" s="112"/>
      <c r="L26" s="112"/>
      <c r="M26" s="151"/>
    </row>
    <row r="27" spans="1:13" s="104" customFormat="1" ht="14" x14ac:dyDescent="0.15">
      <c r="A27" s="109"/>
      <c r="B27" s="109"/>
      <c r="C27" s="109"/>
      <c r="D27" s="109"/>
      <c r="E27" s="109"/>
      <c r="F27" s="109"/>
      <c r="G27" s="110"/>
      <c r="H27" s="109"/>
      <c r="I27" s="110">
        <f t="shared" ref="I27:I39" ca="1" si="2">TODAY()</f>
        <v>45103</v>
      </c>
      <c r="J27" s="140" t="str">
        <f>IF(Table1632[[#This Row],[Date
Client Signed]],DAYS360(G27,I27)," ")</f>
        <v xml:space="preserve"> </v>
      </c>
      <c r="K27" s="112"/>
      <c r="L27" s="112"/>
      <c r="M27" s="169"/>
    </row>
    <row r="28" spans="1:13" s="104" customFormat="1" ht="14" x14ac:dyDescent="0.15">
      <c r="A28" s="109"/>
      <c r="B28" s="109"/>
      <c r="C28" s="109"/>
      <c r="D28" s="109"/>
      <c r="E28" s="109"/>
      <c r="F28" s="109"/>
      <c r="G28" s="110"/>
      <c r="H28" s="109"/>
      <c r="I28" s="110">
        <f t="shared" ca="1" si="2"/>
        <v>45103</v>
      </c>
      <c r="J28" s="140" t="str">
        <f>IF(Table1632[[#This Row],[Date
Client Signed]],DAYS360(G28,I28)," ")</f>
        <v xml:space="preserve"> </v>
      </c>
      <c r="K28" s="112"/>
      <c r="L28" s="112"/>
      <c r="M28" s="169"/>
    </row>
    <row r="29" spans="1:13" s="104" customFormat="1" ht="14" x14ac:dyDescent="0.15">
      <c r="A29" s="109"/>
      <c r="B29" s="109"/>
      <c r="C29" s="109"/>
      <c r="D29" s="109"/>
      <c r="E29" s="109"/>
      <c r="F29" s="109"/>
      <c r="G29" s="110"/>
      <c r="H29" s="109"/>
      <c r="I29" s="110">
        <f t="shared" ca="1" si="2"/>
        <v>45103</v>
      </c>
      <c r="J29" s="140" t="str">
        <f>IF(Table1632[[#This Row],[Date
Client Signed]],DAYS360(G29,I29)," ")</f>
        <v xml:space="preserve"> </v>
      </c>
      <c r="K29" s="112"/>
      <c r="L29" s="112"/>
      <c r="M29" s="169"/>
    </row>
    <row r="30" spans="1:13" s="104" customFormat="1" ht="14" x14ac:dyDescent="0.15">
      <c r="A30" s="109"/>
      <c r="B30" s="109"/>
      <c r="C30" s="109"/>
      <c r="D30" s="109"/>
      <c r="E30" s="109"/>
      <c r="F30" s="109"/>
      <c r="G30" s="110"/>
      <c r="H30" s="109"/>
      <c r="I30" s="110">
        <f t="shared" ca="1" si="2"/>
        <v>45103</v>
      </c>
      <c r="J30" s="140" t="str">
        <f>IF(Table1632[[#This Row],[Date
Client Signed]],DAYS360(G30,I30)," ")</f>
        <v xml:space="preserve"> </v>
      </c>
      <c r="K30" s="112"/>
      <c r="L30" s="112"/>
      <c r="M30" s="169"/>
    </row>
    <row r="31" spans="1:13" s="104" customFormat="1" ht="14" x14ac:dyDescent="0.15">
      <c r="A31" s="109"/>
      <c r="B31" s="109"/>
      <c r="C31" s="109"/>
      <c r="D31" s="109"/>
      <c r="E31" s="109"/>
      <c r="F31" s="109"/>
      <c r="G31" s="110"/>
      <c r="H31" s="109"/>
      <c r="I31" s="110">
        <f t="shared" ca="1" si="2"/>
        <v>45103</v>
      </c>
      <c r="J31" s="140" t="str">
        <f>IF(Table1632[[#This Row],[Date
Client Signed]],DAYS360(G31,I31)," ")</f>
        <v xml:space="preserve"> </v>
      </c>
      <c r="K31" s="112"/>
      <c r="L31" s="112"/>
      <c r="M31" s="169"/>
    </row>
    <row r="32" spans="1:13" s="104" customFormat="1" ht="14" x14ac:dyDescent="0.15">
      <c r="A32" s="109"/>
      <c r="B32" s="109"/>
      <c r="C32" s="109"/>
      <c r="D32" s="109"/>
      <c r="E32" s="109"/>
      <c r="F32" s="109"/>
      <c r="G32" s="110"/>
      <c r="H32" s="109"/>
      <c r="I32" s="110">
        <f t="shared" ca="1" si="2"/>
        <v>45103</v>
      </c>
      <c r="J32" s="140" t="str">
        <f>IF(Table1632[[#This Row],[Date
Client Signed]],DAYS360(G32,I32)," ")</f>
        <v xml:space="preserve"> </v>
      </c>
      <c r="K32" s="112"/>
      <c r="L32" s="112"/>
      <c r="M32" s="169"/>
    </row>
    <row r="33" spans="1:17" s="104" customFormat="1" ht="14" x14ac:dyDescent="0.15">
      <c r="A33" s="109"/>
      <c r="B33" s="109"/>
      <c r="C33" s="109"/>
      <c r="D33" s="109"/>
      <c r="E33" s="109"/>
      <c r="F33" s="109"/>
      <c r="G33" s="110"/>
      <c r="H33" s="109"/>
      <c r="I33" s="110">
        <f t="shared" ca="1" si="2"/>
        <v>45103</v>
      </c>
      <c r="J33" s="140" t="str">
        <f>IF(Table1632[[#This Row],[Date
Client Signed]],DAYS360(G33,I33)," ")</f>
        <v xml:space="preserve"> </v>
      </c>
      <c r="K33" s="112"/>
      <c r="L33" s="112"/>
      <c r="M33" s="169"/>
    </row>
    <row r="34" spans="1:17" s="104" customFormat="1" ht="14" x14ac:dyDescent="0.15">
      <c r="A34" s="109"/>
      <c r="B34" s="109"/>
      <c r="C34" s="109"/>
      <c r="D34" s="109"/>
      <c r="E34" s="109"/>
      <c r="F34" s="109"/>
      <c r="G34" s="110"/>
      <c r="H34" s="109"/>
      <c r="I34" s="110">
        <f t="shared" ca="1" si="2"/>
        <v>45103</v>
      </c>
      <c r="J34" s="140" t="str">
        <f>IF(Table1632[[#This Row],[Date
Client Signed]],DAYS360(G34,I34)," ")</f>
        <v xml:space="preserve"> </v>
      </c>
      <c r="K34" s="112"/>
      <c r="L34" s="112"/>
      <c r="M34" s="169"/>
    </row>
    <row r="35" spans="1:17" s="104" customFormat="1" ht="14" x14ac:dyDescent="0.15">
      <c r="A35" s="109"/>
      <c r="B35" s="109"/>
      <c r="C35" s="109"/>
      <c r="D35" s="109"/>
      <c r="E35" s="109"/>
      <c r="F35" s="109"/>
      <c r="G35" s="110"/>
      <c r="H35" s="109"/>
      <c r="I35" s="110">
        <f t="shared" ca="1" si="2"/>
        <v>45103</v>
      </c>
      <c r="J35" s="140" t="str">
        <f>IF(Table1632[[#This Row],[Date
Client Signed]],DAYS360(G35,I35)," ")</f>
        <v xml:space="preserve"> </v>
      </c>
      <c r="K35" s="112"/>
      <c r="L35" s="112"/>
      <c r="M35" s="169"/>
    </row>
    <row r="36" spans="1:17" s="104" customFormat="1" ht="14" x14ac:dyDescent="0.15">
      <c r="A36" s="109"/>
      <c r="B36" s="109"/>
      <c r="C36" s="109"/>
      <c r="D36" s="109"/>
      <c r="E36" s="109"/>
      <c r="F36" s="109"/>
      <c r="G36" s="110"/>
      <c r="H36" s="109"/>
      <c r="I36" s="110">
        <f t="shared" ca="1" si="2"/>
        <v>45103</v>
      </c>
      <c r="J36" s="140" t="str">
        <f>IF(Table1632[[#This Row],[Date
Client Signed]],DAYS360(G36,I36)," ")</f>
        <v xml:space="preserve"> </v>
      </c>
      <c r="K36" s="112"/>
      <c r="L36" s="112"/>
      <c r="M36" s="169"/>
    </row>
    <row r="37" spans="1:17" s="104" customFormat="1" ht="14" x14ac:dyDescent="0.15">
      <c r="A37" s="109"/>
      <c r="B37" s="109"/>
      <c r="C37" s="109"/>
      <c r="D37" s="109"/>
      <c r="E37" s="109"/>
      <c r="F37" s="109"/>
      <c r="G37" s="110"/>
      <c r="H37" s="109"/>
      <c r="I37" s="110">
        <f t="shared" ca="1" si="2"/>
        <v>45103</v>
      </c>
      <c r="J37" s="140" t="str">
        <f>IF(Table1632[[#This Row],[Date
Client Signed]],DAYS360(G37,I37)," ")</f>
        <v xml:space="preserve"> </v>
      </c>
      <c r="K37" s="112"/>
      <c r="L37" s="112"/>
      <c r="M37" s="169"/>
    </row>
    <row r="38" spans="1:17" s="104" customFormat="1" ht="14" x14ac:dyDescent="0.15">
      <c r="A38" s="109"/>
      <c r="B38" s="109"/>
      <c r="C38" s="109"/>
      <c r="D38" s="109"/>
      <c r="E38" s="109"/>
      <c r="F38" s="109"/>
      <c r="G38" s="110"/>
      <c r="H38" s="109"/>
      <c r="I38" s="110">
        <f t="shared" ca="1" si="2"/>
        <v>45103</v>
      </c>
      <c r="J38" s="140" t="str">
        <f>IF(Table1632[[#This Row],[Date
Client Signed]],DAYS360(G38,I38)," ")</f>
        <v xml:space="preserve"> </v>
      </c>
      <c r="K38" s="112"/>
      <c r="L38" s="112"/>
      <c r="M38" s="169"/>
    </row>
    <row r="39" spans="1:17" s="104" customFormat="1" ht="14" x14ac:dyDescent="0.15">
      <c r="A39" s="109"/>
      <c r="B39" s="109"/>
      <c r="C39" s="109"/>
      <c r="D39" s="109"/>
      <c r="E39" s="109"/>
      <c r="F39" s="109"/>
      <c r="G39" s="110"/>
      <c r="H39" s="109"/>
      <c r="I39" s="110">
        <f t="shared" ca="1" si="2"/>
        <v>45103</v>
      </c>
      <c r="J39" s="140" t="str">
        <f>IF(Table1632[[#This Row],[Date
Client Signed]],DAYS360(G39,I39)," ")</f>
        <v xml:space="preserve"> </v>
      </c>
      <c r="K39" s="112"/>
      <c r="L39" s="112"/>
      <c r="M39" s="169"/>
    </row>
    <row r="40" spans="1:17" s="104" customFormat="1" ht="14" x14ac:dyDescent="0.15">
      <c r="A40" s="109"/>
      <c r="B40" s="109"/>
      <c r="C40" s="109"/>
      <c r="D40" s="109"/>
      <c r="E40" s="109"/>
      <c r="F40" s="109"/>
      <c r="G40" s="110"/>
      <c r="H40" s="109"/>
      <c r="I40" s="110">
        <f t="shared" ref="I40:I52" ca="1" si="3">TODAY()</f>
        <v>45103</v>
      </c>
      <c r="J40" s="140" t="str">
        <f>IF(Table1632[[#This Row],[Date
Client Signed]],DAYS360(G40,I40)," ")</f>
        <v xml:space="preserve"> </v>
      </c>
      <c r="K40" s="112"/>
      <c r="L40" s="112"/>
      <c r="M40" s="169"/>
    </row>
    <row r="41" spans="1:17" s="104" customFormat="1" ht="14" x14ac:dyDescent="0.15">
      <c r="A41" s="109"/>
      <c r="B41" s="109"/>
      <c r="C41" s="109"/>
      <c r="D41" s="109"/>
      <c r="E41" s="109"/>
      <c r="F41" s="109"/>
      <c r="G41" s="110"/>
      <c r="H41" s="109"/>
      <c r="I41" s="110">
        <f t="shared" ca="1" si="3"/>
        <v>45103</v>
      </c>
      <c r="J41" s="140" t="str">
        <f>IF(Table1632[[#This Row],[Date
Client Signed]],DAYS360(G41,I41)," ")</f>
        <v xml:space="preserve"> </v>
      </c>
      <c r="K41" s="112"/>
      <c r="L41" s="112"/>
      <c r="M41" s="169"/>
    </row>
    <row r="42" spans="1:17" s="104" customFormat="1" ht="14" x14ac:dyDescent="0.15">
      <c r="A42" s="109"/>
      <c r="B42" s="109"/>
      <c r="C42" s="109"/>
      <c r="D42" s="109"/>
      <c r="E42" s="109"/>
      <c r="F42" s="109"/>
      <c r="G42" s="110"/>
      <c r="H42" s="109"/>
      <c r="I42" s="110">
        <f t="shared" ca="1" si="3"/>
        <v>45103</v>
      </c>
      <c r="J42" s="140" t="str">
        <f>IF(Table1632[[#This Row],[Date
Client Signed]],DAYS360(G42,I42)," ")</f>
        <v xml:space="preserve"> </v>
      </c>
      <c r="K42" s="112"/>
      <c r="L42" s="112"/>
      <c r="M42" s="169"/>
    </row>
    <row r="43" spans="1:17" s="104" customFormat="1" ht="14" x14ac:dyDescent="0.15">
      <c r="A43" s="109"/>
      <c r="B43" s="109"/>
      <c r="C43" s="109"/>
      <c r="D43" s="109"/>
      <c r="E43" s="109"/>
      <c r="F43" s="109"/>
      <c r="G43" s="110"/>
      <c r="H43" s="109"/>
      <c r="I43" s="110">
        <f t="shared" ca="1" si="3"/>
        <v>45103</v>
      </c>
      <c r="J43" s="140" t="str">
        <f>IF(Table1632[[#This Row],[Date
Client Signed]],DAYS360(G43,I43)," ")</f>
        <v xml:space="preserve"> </v>
      </c>
      <c r="K43" s="112"/>
      <c r="L43" s="112"/>
      <c r="M43" s="169"/>
      <c r="N43" s="128"/>
      <c r="O43" s="128"/>
      <c r="P43" s="128"/>
      <c r="Q43" s="128"/>
    </row>
    <row r="44" spans="1:17" s="104" customFormat="1" ht="14" x14ac:dyDescent="0.15">
      <c r="A44" s="109"/>
      <c r="B44" s="109"/>
      <c r="C44" s="109"/>
      <c r="D44" s="109"/>
      <c r="E44" s="109"/>
      <c r="F44" s="109"/>
      <c r="G44" s="110"/>
      <c r="H44" s="109"/>
      <c r="I44" s="110">
        <f t="shared" ca="1" si="3"/>
        <v>45103</v>
      </c>
      <c r="J44" s="140" t="str">
        <f>IF(Table1632[[#This Row],[Date
Client Signed]],DAYS360(G44,I44)," ")</f>
        <v xml:space="preserve"> </v>
      </c>
      <c r="K44" s="112"/>
      <c r="L44" s="112"/>
      <c r="M44" s="169"/>
    </row>
    <row r="45" spans="1:17" x14ac:dyDescent="0.2">
      <c r="A45" s="109"/>
      <c r="B45" s="109"/>
      <c r="C45" s="109"/>
      <c r="D45" s="109"/>
      <c r="E45" s="109"/>
      <c r="F45" s="109"/>
      <c r="G45" s="110"/>
      <c r="H45" s="109"/>
      <c r="I45" s="110">
        <f t="shared" ca="1" si="3"/>
        <v>45103</v>
      </c>
      <c r="J45" s="140" t="str">
        <f>IF(Table1632[[#This Row],[Date
Client Signed]],DAYS360(G45,I45)," ")</f>
        <v xml:space="preserve"> </v>
      </c>
      <c r="K45" s="112"/>
      <c r="L45" s="112"/>
      <c r="M45" s="169"/>
    </row>
    <row r="46" spans="1:17" x14ac:dyDescent="0.2">
      <c r="A46" s="109"/>
      <c r="B46" s="109"/>
      <c r="C46" s="109"/>
      <c r="D46" s="109"/>
      <c r="E46" s="109"/>
      <c r="F46" s="109"/>
      <c r="G46" s="110"/>
      <c r="H46" s="109"/>
      <c r="I46" s="110">
        <f t="shared" ca="1" si="3"/>
        <v>45103</v>
      </c>
      <c r="J46" s="140" t="str">
        <f>IF(Table1632[[#This Row],[Date
Client Signed]],DAYS360(G46,I46)," ")</f>
        <v xml:space="preserve"> </v>
      </c>
      <c r="K46" s="112"/>
      <c r="L46" s="112"/>
      <c r="M46" s="169"/>
    </row>
    <row r="47" spans="1:17" x14ac:dyDescent="0.2">
      <c r="A47" s="109"/>
      <c r="B47" s="109"/>
      <c r="C47" s="109"/>
      <c r="D47" s="109"/>
      <c r="E47" s="109"/>
      <c r="F47" s="109"/>
      <c r="G47" s="110"/>
      <c r="H47" s="109"/>
      <c r="I47" s="110">
        <f t="shared" ca="1" si="3"/>
        <v>45103</v>
      </c>
      <c r="J47" s="140" t="str">
        <f>IF(Table1632[[#This Row],[Date
Client Signed]],DAYS360(G47,I47)," ")</f>
        <v xml:space="preserve"> </v>
      </c>
      <c r="K47" s="112"/>
      <c r="L47" s="112"/>
      <c r="M47" s="169"/>
    </row>
    <row r="48" spans="1:17" x14ac:dyDescent="0.2">
      <c r="A48" s="109"/>
      <c r="B48" s="109"/>
      <c r="C48" s="109"/>
      <c r="D48" s="109"/>
      <c r="E48" s="109"/>
      <c r="F48" s="109"/>
      <c r="G48" s="110"/>
      <c r="H48" s="109"/>
      <c r="I48" s="110">
        <f t="shared" ca="1" si="3"/>
        <v>45103</v>
      </c>
      <c r="J48" s="140" t="str">
        <f>IF(Table1632[[#This Row],[Date
Client Signed]],DAYS360(G48,I48)," ")</f>
        <v xml:space="preserve"> </v>
      </c>
      <c r="K48" s="112"/>
      <c r="L48" s="112"/>
      <c r="M48" s="169"/>
    </row>
    <row r="49" spans="1:13" x14ac:dyDescent="0.2">
      <c r="A49" s="109"/>
      <c r="B49" s="109"/>
      <c r="C49" s="109"/>
      <c r="D49" s="109"/>
      <c r="E49" s="109"/>
      <c r="F49" s="109"/>
      <c r="G49" s="110"/>
      <c r="H49" s="109"/>
      <c r="I49" s="110">
        <f t="shared" ca="1" si="3"/>
        <v>45103</v>
      </c>
      <c r="J49" s="140" t="str">
        <f>IF(Table1632[[#This Row],[Date
Client Signed]],DAYS360(G49,I49)," ")</f>
        <v xml:space="preserve"> </v>
      </c>
      <c r="K49" s="112"/>
      <c r="L49" s="112"/>
      <c r="M49" s="169"/>
    </row>
    <row r="50" spans="1:13" x14ac:dyDescent="0.2">
      <c r="A50" s="109"/>
      <c r="B50" s="109"/>
      <c r="C50" s="109"/>
      <c r="D50" s="109"/>
      <c r="E50" s="109"/>
      <c r="F50" s="109"/>
      <c r="G50" s="110"/>
      <c r="H50" s="109"/>
      <c r="I50" s="110">
        <f t="shared" ca="1" si="3"/>
        <v>45103</v>
      </c>
      <c r="J50" s="140" t="str">
        <f>IF(Table1632[[#This Row],[Date
Client Signed]],DAYS360(G50,I50)," ")</f>
        <v xml:space="preserve"> </v>
      </c>
      <c r="K50" s="112"/>
      <c r="L50" s="112"/>
      <c r="M50" s="169"/>
    </row>
    <row r="51" spans="1:13" x14ac:dyDescent="0.2">
      <c r="A51" s="109"/>
      <c r="B51" s="109"/>
      <c r="C51" s="109"/>
      <c r="D51" s="109"/>
      <c r="E51" s="109"/>
      <c r="F51" s="109"/>
      <c r="G51" s="110"/>
      <c r="H51" s="109"/>
      <c r="I51" s="110">
        <f t="shared" ca="1" si="3"/>
        <v>45103</v>
      </c>
      <c r="J51" s="140" t="str">
        <f>IF(Table1632[[#This Row],[Date
Client Signed]],DAYS360(G51,I51)," ")</f>
        <v xml:space="preserve"> </v>
      </c>
      <c r="K51" s="112"/>
      <c r="L51" s="112"/>
      <c r="M51" s="169"/>
    </row>
    <row r="52" spans="1:13" x14ac:dyDescent="0.2">
      <c r="A52" s="109"/>
      <c r="B52" s="109"/>
      <c r="C52" s="109"/>
      <c r="D52" s="109"/>
      <c r="E52" s="109"/>
      <c r="F52" s="109"/>
      <c r="G52" s="110"/>
      <c r="H52" s="109"/>
      <c r="I52" s="110">
        <f t="shared" ca="1" si="3"/>
        <v>45103</v>
      </c>
      <c r="J52" s="140" t="str">
        <f>IF(Table1632[[#This Row],[Date
Client Signed]],DAYS360(G52,I52)," ")</f>
        <v xml:space="preserve"> </v>
      </c>
      <c r="K52" s="112"/>
      <c r="L52" s="112"/>
      <c r="M52" s="169"/>
    </row>
    <row r="53" spans="1:13" x14ac:dyDescent="0.2">
      <c r="A53" s="109"/>
      <c r="B53" s="109"/>
      <c r="C53" s="109"/>
      <c r="D53" s="109"/>
      <c r="E53" s="109"/>
      <c r="F53" s="109"/>
      <c r="G53" s="110"/>
      <c r="H53" s="109"/>
      <c r="I53" s="110">
        <f t="shared" ref="I53:I65" ca="1" si="4">TODAY()</f>
        <v>45103</v>
      </c>
      <c r="J53" s="140" t="str">
        <f>IF(Table1632[[#This Row],[Date
Client Signed]],DAYS360(G53,I53)," ")</f>
        <v xml:space="preserve"> </v>
      </c>
      <c r="K53" s="112"/>
      <c r="L53" s="112"/>
      <c r="M53" s="169"/>
    </row>
    <row r="54" spans="1:13" x14ac:dyDescent="0.2">
      <c r="A54" s="109"/>
      <c r="B54" s="109"/>
      <c r="C54" s="109"/>
      <c r="D54" s="109"/>
      <c r="E54" s="109"/>
      <c r="F54" s="109"/>
      <c r="G54" s="110"/>
      <c r="H54" s="109"/>
      <c r="I54" s="110">
        <f t="shared" ca="1" si="4"/>
        <v>45103</v>
      </c>
      <c r="J54" s="140" t="str">
        <f>IF(Table1632[[#This Row],[Date
Client Signed]],DAYS360(G54,I54)," ")</f>
        <v xml:space="preserve"> </v>
      </c>
      <c r="K54" s="112"/>
      <c r="L54" s="112"/>
      <c r="M54" s="169"/>
    </row>
    <row r="55" spans="1:13" x14ac:dyDescent="0.2">
      <c r="A55" s="109"/>
      <c r="B55" s="109"/>
      <c r="C55" s="109"/>
      <c r="D55" s="109"/>
      <c r="E55" s="109"/>
      <c r="F55" s="109"/>
      <c r="G55" s="110"/>
      <c r="H55" s="109"/>
      <c r="I55" s="110">
        <f t="shared" ca="1" si="4"/>
        <v>45103</v>
      </c>
      <c r="J55" s="140" t="str">
        <f>IF(Table1632[[#This Row],[Date
Client Signed]],DAYS360(G55,I55)," ")</f>
        <v xml:space="preserve"> </v>
      </c>
      <c r="K55" s="112"/>
      <c r="L55" s="112"/>
      <c r="M55" s="169"/>
    </row>
    <row r="56" spans="1:13" x14ac:dyDescent="0.2">
      <c r="A56" s="109"/>
      <c r="B56" s="109"/>
      <c r="C56" s="109"/>
      <c r="D56" s="109"/>
      <c r="E56" s="109"/>
      <c r="F56" s="109"/>
      <c r="G56" s="110"/>
      <c r="H56" s="109"/>
      <c r="I56" s="110">
        <f t="shared" ca="1" si="4"/>
        <v>45103</v>
      </c>
      <c r="J56" s="140" t="str">
        <f>IF(Table1632[[#This Row],[Date
Client Signed]],DAYS360(G56,I56)," ")</f>
        <v xml:space="preserve"> </v>
      </c>
      <c r="K56" s="112"/>
      <c r="L56" s="112"/>
      <c r="M56" s="169"/>
    </row>
    <row r="57" spans="1:13" x14ac:dyDescent="0.2">
      <c r="A57" s="109"/>
      <c r="B57" s="109"/>
      <c r="C57" s="109"/>
      <c r="D57" s="109"/>
      <c r="E57" s="109"/>
      <c r="F57" s="109"/>
      <c r="G57" s="110"/>
      <c r="H57" s="109"/>
      <c r="I57" s="110">
        <f t="shared" ca="1" si="4"/>
        <v>45103</v>
      </c>
      <c r="J57" s="140" t="str">
        <f>IF(Table1632[[#This Row],[Date
Client Signed]],DAYS360(G57,I57)," ")</f>
        <v xml:space="preserve"> </v>
      </c>
      <c r="K57" s="112"/>
      <c r="L57" s="112"/>
      <c r="M57" s="169"/>
    </row>
    <row r="58" spans="1:13" x14ac:dyDescent="0.2">
      <c r="A58" s="109"/>
      <c r="B58" s="109"/>
      <c r="C58" s="109"/>
      <c r="D58" s="109"/>
      <c r="E58" s="109"/>
      <c r="F58" s="109"/>
      <c r="G58" s="110"/>
      <c r="H58" s="109"/>
      <c r="I58" s="110">
        <f t="shared" ca="1" si="4"/>
        <v>45103</v>
      </c>
      <c r="J58" s="140" t="str">
        <f>IF(Table1632[[#This Row],[Date
Client Signed]],DAYS360(G58,I58)," ")</f>
        <v xml:space="preserve"> </v>
      </c>
      <c r="K58" s="112"/>
      <c r="L58" s="112"/>
      <c r="M58" s="169"/>
    </row>
    <row r="59" spans="1:13" x14ac:dyDescent="0.2">
      <c r="A59" s="109"/>
      <c r="B59" s="109"/>
      <c r="C59" s="109"/>
      <c r="D59" s="109"/>
      <c r="E59" s="109"/>
      <c r="F59" s="109"/>
      <c r="G59" s="110"/>
      <c r="H59" s="109"/>
      <c r="I59" s="110">
        <f t="shared" ca="1" si="4"/>
        <v>45103</v>
      </c>
      <c r="J59" s="140" t="str">
        <f>IF(Table1632[[#This Row],[Date
Client Signed]],DAYS360(G59,I59)," ")</f>
        <v xml:space="preserve"> </v>
      </c>
      <c r="K59" s="112"/>
      <c r="L59" s="112"/>
      <c r="M59" s="169"/>
    </row>
    <row r="60" spans="1:13" x14ac:dyDescent="0.2">
      <c r="A60" s="109"/>
      <c r="B60" s="109"/>
      <c r="C60" s="109"/>
      <c r="D60" s="109"/>
      <c r="E60" s="109"/>
      <c r="F60" s="109"/>
      <c r="G60" s="110"/>
      <c r="H60" s="109"/>
      <c r="I60" s="110">
        <f t="shared" ca="1" si="4"/>
        <v>45103</v>
      </c>
      <c r="J60" s="140" t="str">
        <f>IF(Table1632[[#This Row],[Date
Client Signed]],DAYS360(G60,I60)," ")</f>
        <v xml:space="preserve"> </v>
      </c>
      <c r="K60" s="112"/>
      <c r="L60" s="112"/>
      <c r="M60" s="169"/>
    </row>
    <row r="61" spans="1:13" x14ac:dyDescent="0.2">
      <c r="A61" s="109"/>
      <c r="B61" s="109"/>
      <c r="C61" s="109"/>
      <c r="D61" s="109"/>
      <c r="E61" s="109"/>
      <c r="F61" s="109"/>
      <c r="G61" s="110"/>
      <c r="H61" s="109"/>
      <c r="I61" s="110">
        <f t="shared" ca="1" si="4"/>
        <v>45103</v>
      </c>
      <c r="J61" s="140" t="str">
        <f>IF(Table1632[[#This Row],[Date
Client Signed]],DAYS360(G61,I61)," ")</f>
        <v xml:space="preserve"> </v>
      </c>
      <c r="K61" s="112"/>
      <c r="L61" s="112"/>
      <c r="M61" s="169"/>
    </row>
    <row r="62" spans="1:13" x14ac:dyDescent="0.2">
      <c r="A62" s="109"/>
      <c r="B62" s="109"/>
      <c r="C62" s="109"/>
      <c r="D62" s="109"/>
      <c r="E62" s="109"/>
      <c r="F62" s="109"/>
      <c r="G62" s="110"/>
      <c r="H62" s="109"/>
      <c r="I62" s="110">
        <f t="shared" ca="1" si="4"/>
        <v>45103</v>
      </c>
      <c r="J62" s="140" t="str">
        <f>IF(Table1632[[#This Row],[Date
Client Signed]],DAYS360(G62,I62)," ")</f>
        <v xml:space="preserve"> </v>
      </c>
      <c r="K62" s="112"/>
      <c r="L62" s="112"/>
      <c r="M62" s="169"/>
    </row>
    <row r="63" spans="1:13" x14ac:dyDescent="0.2">
      <c r="A63" s="109"/>
      <c r="B63" s="109"/>
      <c r="C63" s="109"/>
      <c r="D63" s="109"/>
      <c r="E63" s="109"/>
      <c r="F63" s="109"/>
      <c r="G63" s="110"/>
      <c r="H63" s="109"/>
      <c r="I63" s="110">
        <f t="shared" ca="1" si="4"/>
        <v>45103</v>
      </c>
      <c r="J63" s="140" t="str">
        <f>IF(Table1632[[#This Row],[Date
Client Signed]],DAYS360(G63,I63)," ")</f>
        <v xml:space="preserve"> </v>
      </c>
      <c r="K63" s="112"/>
      <c r="L63" s="112"/>
      <c r="M63" s="169"/>
    </row>
    <row r="64" spans="1:13" x14ac:dyDescent="0.2">
      <c r="A64" s="109"/>
      <c r="B64" s="109"/>
      <c r="C64" s="109"/>
      <c r="D64" s="109"/>
      <c r="E64" s="109"/>
      <c r="F64" s="109"/>
      <c r="G64" s="110"/>
      <c r="H64" s="109"/>
      <c r="I64" s="110">
        <f t="shared" ca="1" si="4"/>
        <v>45103</v>
      </c>
      <c r="J64" s="140" t="str">
        <f>IF(Table1632[[#This Row],[Date
Client Signed]],DAYS360(G64,I64)," ")</f>
        <v xml:space="preserve"> </v>
      </c>
      <c r="K64" s="112"/>
      <c r="L64" s="112"/>
      <c r="M64" s="169"/>
    </row>
    <row r="65" spans="1:13" x14ac:dyDescent="0.2">
      <c r="A65" s="109"/>
      <c r="B65" s="109"/>
      <c r="C65" s="109"/>
      <c r="D65" s="109"/>
      <c r="E65" s="109"/>
      <c r="F65" s="109"/>
      <c r="G65" s="110"/>
      <c r="H65" s="109"/>
      <c r="I65" s="110">
        <f t="shared" ca="1" si="4"/>
        <v>45103</v>
      </c>
      <c r="J65" s="140" t="str">
        <f>IF(Table1632[[#This Row],[Date
Client Signed]],DAYS360(G65,I65)," ")</f>
        <v xml:space="preserve"> </v>
      </c>
      <c r="K65" s="112"/>
      <c r="L65" s="112"/>
      <c r="M65" s="169"/>
    </row>
    <row r="66" spans="1:13" x14ac:dyDescent="0.2">
      <c r="A66" s="109"/>
      <c r="B66" s="109"/>
      <c r="C66" s="109"/>
      <c r="D66" s="109"/>
      <c r="E66" s="109"/>
      <c r="F66" s="109"/>
      <c r="G66" s="110"/>
      <c r="H66" s="109"/>
      <c r="I66" s="110">
        <f t="shared" ref="I66:I78" ca="1" si="5">TODAY()</f>
        <v>45103</v>
      </c>
      <c r="J66" s="140" t="str">
        <f>IF(Table1632[[#This Row],[Date
Client Signed]],DAYS360(G66,I66)," ")</f>
        <v xml:space="preserve"> </v>
      </c>
      <c r="K66" s="112"/>
      <c r="L66" s="112"/>
      <c r="M66" s="169"/>
    </row>
    <row r="67" spans="1:13" x14ac:dyDescent="0.2">
      <c r="A67" s="109"/>
      <c r="B67" s="109"/>
      <c r="C67" s="109"/>
      <c r="D67" s="109"/>
      <c r="E67" s="109"/>
      <c r="F67" s="109"/>
      <c r="G67" s="110"/>
      <c r="H67" s="109"/>
      <c r="I67" s="110">
        <f t="shared" ca="1" si="5"/>
        <v>45103</v>
      </c>
      <c r="J67" s="140" t="str">
        <f>IF(Table1632[[#This Row],[Date
Client Signed]],DAYS360(G67,I67)," ")</f>
        <v xml:space="preserve"> </v>
      </c>
      <c r="K67" s="112"/>
      <c r="L67" s="112"/>
      <c r="M67" s="169"/>
    </row>
    <row r="68" spans="1:13" x14ac:dyDescent="0.2">
      <c r="A68" s="109"/>
      <c r="B68" s="109"/>
      <c r="C68" s="109"/>
      <c r="D68" s="109"/>
      <c r="E68" s="109"/>
      <c r="F68" s="109"/>
      <c r="G68" s="110"/>
      <c r="H68" s="109"/>
      <c r="I68" s="110">
        <f t="shared" ca="1" si="5"/>
        <v>45103</v>
      </c>
      <c r="J68" s="140" t="str">
        <f>IF(Table1632[[#This Row],[Date
Client Signed]],DAYS360(G68,I68)," ")</f>
        <v xml:space="preserve"> </v>
      </c>
      <c r="K68" s="112"/>
      <c r="L68" s="112"/>
      <c r="M68" s="169"/>
    </row>
    <row r="69" spans="1:13" x14ac:dyDescent="0.2">
      <c r="A69" s="109"/>
      <c r="B69" s="109"/>
      <c r="C69" s="109"/>
      <c r="D69" s="109"/>
      <c r="E69" s="109"/>
      <c r="F69" s="109"/>
      <c r="G69" s="110"/>
      <c r="H69" s="109"/>
      <c r="I69" s="110">
        <f t="shared" ca="1" si="5"/>
        <v>45103</v>
      </c>
      <c r="J69" s="140" t="str">
        <f>IF(Table1632[[#This Row],[Date
Client Signed]],DAYS360(G69,I69)," ")</f>
        <v xml:space="preserve"> </v>
      </c>
      <c r="K69" s="112"/>
      <c r="L69" s="112"/>
      <c r="M69" s="169"/>
    </row>
    <row r="70" spans="1:13" x14ac:dyDescent="0.2">
      <c r="A70" s="109"/>
      <c r="B70" s="109"/>
      <c r="C70" s="109"/>
      <c r="D70" s="109"/>
      <c r="E70" s="109"/>
      <c r="F70" s="109"/>
      <c r="G70" s="110"/>
      <c r="H70" s="109"/>
      <c r="I70" s="110">
        <f t="shared" ca="1" si="5"/>
        <v>45103</v>
      </c>
      <c r="J70" s="140" t="str">
        <f>IF(Table1632[[#This Row],[Date
Client Signed]],DAYS360(G70,I70)," ")</f>
        <v xml:space="preserve"> </v>
      </c>
      <c r="K70" s="112"/>
      <c r="L70" s="112"/>
      <c r="M70" s="169"/>
    </row>
    <row r="71" spans="1:13" x14ac:dyDescent="0.2">
      <c r="A71" s="109"/>
      <c r="B71" s="109"/>
      <c r="C71" s="109"/>
      <c r="D71" s="109"/>
      <c r="E71" s="109"/>
      <c r="F71" s="109"/>
      <c r="G71" s="110"/>
      <c r="H71" s="109"/>
      <c r="I71" s="110">
        <f t="shared" ca="1" si="5"/>
        <v>45103</v>
      </c>
      <c r="J71" s="140" t="str">
        <f>IF(Table1632[[#This Row],[Date
Client Signed]],DAYS360(G71,I71)," ")</f>
        <v xml:space="preserve"> </v>
      </c>
      <c r="K71" s="112"/>
      <c r="L71" s="112"/>
      <c r="M71" s="169"/>
    </row>
    <row r="72" spans="1:13" x14ac:dyDescent="0.2">
      <c r="A72" s="109"/>
      <c r="B72" s="109"/>
      <c r="C72" s="109"/>
      <c r="D72" s="109"/>
      <c r="E72" s="109"/>
      <c r="F72" s="109"/>
      <c r="G72" s="110"/>
      <c r="H72" s="109"/>
      <c r="I72" s="110">
        <f t="shared" ca="1" si="5"/>
        <v>45103</v>
      </c>
      <c r="J72" s="140" t="str">
        <f>IF(Table1632[[#This Row],[Date
Client Signed]],DAYS360(G72,I72)," ")</f>
        <v xml:space="preserve"> </v>
      </c>
      <c r="K72" s="112"/>
      <c r="L72" s="112"/>
      <c r="M72" s="169"/>
    </row>
    <row r="73" spans="1:13" x14ac:dyDescent="0.2">
      <c r="A73" s="109"/>
      <c r="B73" s="109"/>
      <c r="C73" s="109"/>
      <c r="D73" s="109"/>
      <c r="E73" s="109"/>
      <c r="F73" s="109"/>
      <c r="G73" s="110"/>
      <c r="H73" s="109"/>
      <c r="I73" s="110">
        <f t="shared" ca="1" si="5"/>
        <v>45103</v>
      </c>
      <c r="J73" s="140" t="str">
        <f>IF(Table1632[[#This Row],[Date
Client Signed]],DAYS360(G73,I73)," ")</f>
        <v xml:space="preserve"> </v>
      </c>
      <c r="K73" s="112"/>
      <c r="L73" s="112"/>
      <c r="M73" s="169"/>
    </row>
    <row r="74" spans="1:13" x14ac:dyDescent="0.2">
      <c r="A74" s="109"/>
      <c r="B74" s="109"/>
      <c r="C74" s="109"/>
      <c r="D74" s="109"/>
      <c r="E74" s="109"/>
      <c r="F74" s="109"/>
      <c r="G74" s="110"/>
      <c r="H74" s="109"/>
      <c r="I74" s="110">
        <f t="shared" ca="1" si="5"/>
        <v>45103</v>
      </c>
      <c r="J74" s="140" t="str">
        <f>IF(Table1632[[#This Row],[Date
Client Signed]],DAYS360(G74,I74)," ")</f>
        <v xml:space="preserve"> </v>
      </c>
      <c r="K74" s="112"/>
      <c r="L74" s="112"/>
      <c r="M74" s="169"/>
    </row>
    <row r="75" spans="1:13" x14ac:dyDescent="0.2">
      <c r="A75" s="109"/>
      <c r="B75" s="109"/>
      <c r="C75" s="109"/>
      <c r="D75" s="109"/>
      <c r="E75" s="109"/>
      <c r="F75" s="109"/>
      <c r="G75" s="110"/>
      <c r="H75" s="109"/>
      <c r="I75" s="110">
        <f t="shared" ca="1" si="5"/>
        <v>45103</v>
      </c>
      <c r="J75" s="140" t="str">
        <f>IF(Table1632[[#This Row],[Date
Client Signed]],DAYS360(G75,I75)," ")</f>
        <v xml:space="preserve"> </v>
      </c>
      <c r="K75" s="112"/>
      <c r="L75" s="112"/>
      <c r="M75" s="169"/>
    </row>
    <row r="76" spans="1:13" x14ac:dyDescent="0.2">
      <c r="A76" s="109"/>
      <c r="B76" s="109"/>
      <c r="C76" s="109"/>
      <c r="D76" s="109"/>
      <c r="E76" s="109"/>
      <c r="F76" s="109"/>
      <c r="G76" s="110"/>
      <c r="H76" s="109"/>
      <c r="I76" s="110">
        <f t="shared" ca="1" si="5"/>
        <v>45103</v>
      </c>
      <c r="J76" s="140" t="str">
        <f>IF(Table1632[[#This Row],[Date
Client Signed]],DAYS360(G76,I76)," ")</f>
        <v xml:space="preserve"> </v>
      </c>
      <c r="K76" s="112"/>
      <c r="L76" s="112"/>
      <c r="M76" s="169"/>
    </row>
    <row r="77" spans="1:13" x14ac:dyDescent="0.2">
      <c r="A77" s="109"/>
      <c r="B77" s="109"/>
      <c r="C77" s="109"/>
      <c r="D77" s="109"/>
      <c r="E77" s="109"/>
      <c r="F77" s="109"/>
      <c r="G77" s="110"/>
      <c r="H77" s="109"/>
      <c r="I77" s="110">
        <f t="shared" ca="1" si="5"/>
        <v>45103</v>
      </c>
      <c r="J77" s="140" t="str">
        <f>IF(Table1632[[#This Row],[Date
Client Signed]],DAYS360(G77,I77)," ")</f>
        <v xml:space="preserve"> </v>
      </c>
      <c r="K77" s="112"/>
      <c r="L77" s="112"/>
      <c r="M77" s="169"/>
    </row>
    <row r="78" spans="1:13" x14ac:dyDescent="0.2">
      <c r="A78" s="109"/>
      <c r="B78" s="109"/>
      <c r="C78" s="109"/>
      <c r="D78" s="109"/>
      <c r="E78" s="109"/>
      <c r="F78" s="109"/>
      <c r="G78" s="110"/>
      <c r="H78" s="109"/>
      <c r="I78" s="110">
        <f t="shared" ca="1" si="5"/>
        <v>45103</v>
      </c>
      <c r="J78" s="140" t="str">
        <f>IF(Table1632[[#This Row],[Date
Client Signed]],DAYS360(G78,I78)," ")</f>
        <v xml:space="preserve"> </v>
      </c>
      <c r="K78" s="112"/>
      <c r="L78" s="112"/>
      <c r="M78" s="169"/>
    </row>
    <row r="79" spans="1:13" x14ac:dyDescent="0.2">
      <c r="A79" s="109"/>
      <c r="B79" s="109"/>
      <c r="C79" s="109"/>
      <c r="D79" s="109"/>
      <c r="E79" s="109"/>
      <c r="F79" s="109"/>
      <c r="G79" s="110"/>
      <c r="H79" s="109"/>
      <c r="I79" s="110">
        <f t="shared" ref="I79:I91" ca="1" si="6">TODAY()</f>
        <v>45103</v>
      </c>
      <c r="J79" s="140" t="str">
        <f>IF(Table1632[[#This Row],[Date
Client Signed]],DAYS360(G79,I79)," ")</f>
        <v xml:space="preserve"> </v>
      </c>
      <c r="K79" s="112"/>
      <c r="L79" s="112"/>
      <c r="M79" s="169"/>
    </row>
    <row r="80" spans="1:13" x14ac:dyDescent="0.2">
      <c r="A80" s="109"/>
      <c r="B80" s="109"/>
      <c r="C80" s="109"/>
      <c r="D80" s="109"/>
      <c r="E80" s="109"/>
      <c r="F80" s="109"/>
      <c r="G80" s="110"/>
      <c r="H80" s="109"/>
      <c r="I80" s="110">
        <f t="shared" ca="1" si="6"/>
        <v>45103</v>
      </c>
      <c r="J80" s="140" t="str">
        <f>IF(Table1632[[#This Row],[Date
Client Signed]],DAYS360(G80,I80)," ")</f>
        <v xml:space="preserve"> </v>
      </c>
      <c r="K80" s="112"/>
      <c r="L80" s="112"/>
      <c r="M80" s="169"/>
    </row>
    <row r="81" spans="1:13" x14ac:dyDescent="0.2">
      <c r="A81" s="109"/>
      <c r="B81" s="109"/>
      <c r="C81" s="109"/>
      <c r="D81" s="109"/>
      <c r="E81" s="109"/>
      <c r="F81" s="109"/>
      <c r="G81" s="110"/>
      <c r="H81" s="109"/>
      <c r="I81" s="110">
        <f t="shared" ca="1" si="6"/>
        <v>45103</v>
      </c>
      <c r="J81" s="140" t="str">
        <f>IF(Table1632[[#This Row],[Date
Client Signed]],DAYS360(G81,I81)," ")</f>
        <v xml:space="preserve"> </v>
      </c>
      <c r="K81" s="112"/>
      <c r="L81" s="112"/>
      <c r="M81" s="169"/>
    </row>
    <row r="82" spans="1:13" x14ac:dyDescent="0.2">
      <c r="A82" s="109"/>
      <c r="B82" s="109"/>
      <c r="C82" s="109"/>
      <c r="D82" s="109"/>
      <c r="E82" s="109"/>
      <c r="F82" s="109"/>
      <c r="G82" s="110"/>
      <c r="H82" s="109"/>
      <c r="I82" s="110">
        <f t="shared" ca="1" si="6"/>
        <v>45103</v>
      </c>
      <c r="J82" s="140" t="str">
        <f>IF(Table1632[[#This Row],[Date
Client Signed]],DAYS360(G82,I82)," ")</f>
        <v xml:space="preserve"> </v>
      </c>
      <c r="K82" s="112"/>
      <c r="L82" s="112"/>
      <c r="M82" s="169"/>
    </row>
    <row r="83" spans="1:13" x14ac:dyDescent="0.2">
      <c r="A83" s="109"/>
      <c r="B83" s="109"/>
      <c r="C83" s="109"/>
      <c r="D83" s="109"/>
      <c r="E83" s="109"/>
      <c r="F83" s="109"/>
      <c r="G83" s="110"/>
      <c r="H83" s="109"/>
      <c r="I83" s="110">
        <f t="shared" ca="1" si="6"/>
        <v>45103</v>
      </c>
      <c r="J83" s="140" t="str">
        <f>IF(Table1632[[#This Row],[Date
Client Signed]],DAYS360(G83,I83)," ")</f>
        <v xml:space="preserve"> </v>
      </c>
      <c r="K83" s="112"/>
      <c r="L83" s="112"/>
      <c r="M83" s="169"/>
    </row>
    <row r="84" spans="1:13" x14ac:dyDescent="0.2">
      <c r="A84" s="109"/>
      <c r="B84" s="109"/>
      <c r="C84" s="109"/>
      <c r="D84" s="109"/>
      <c r="E84" s="109"/>
      <c r="F84" s="109"/>
      <c r="G84" s="110"/>
      <c r="H84" s="109"/>
      <c r="I84" s="110">
        <f t="shared" ca="1" si="6"/>
        <v>45103</v>
      </c>
      <c r="J84" s="140" t="str">
        <f>IF(Table1632[[#This Row],[Date
Client Signed]],DAYS360(G84,I84)," ")</f>
        <v xml:space="preserve"> </v>
      </c>
      <c r="K84" s="112"/>
      <c r="L84" s="112"/>
      <c r="M84" s="169"/>
    </row>
    <row r="85" spans="1:13" x14ac:dyDescent="0.2">
      <c r="A85" s="109"/>
      <c r="B85" s="109"/>
      <c r="C85" s="109"/>
      <c r="D85" s="109"/>
      <c r="E85" s="109"/>
      <c r="F85" s="109"/>
      <c r="G85" s="110"/>
      <c r="H85" s="109"/>
      <c r="I85" s="110">
        <f t="shared" ca="1" si="6"/>
        <v>45103</v>
      </c>
      <c r="J85" s="140" t="str">
        <f>IF(Table1632[[#This Row],[Date
Client Signed]],DAYS360(G85,I85)," ")</f>
        <v xml:space="preserve"> </v>
      </c>
      <c r="K85" s="112"/>
      <c r="L85" s="112"/>
      <c r="M85" s="169"/>
    </row>
    <row r="86" spans="1:13" x14ac:dyDescent="0.2">
      <c r="A86" s="109"/>
      <c r="B86" s="109"/>
      <c r="C86" s="109"/>
      <c r="D86" s="109"/>
      <c r="E86" s="109"/>
      <c r="F86" s="109"/>
      <c r="G86" s="110"/>
      <c r="H86" s="109"/>
      <c r="I86" s="110">
        <f t="shared" ca="1" si="6"/>
        <v>45103</v>
      </c>
      <c r="J86" s="140" t="str">
        <f>IF(Table1632[[#This Row],[Date
Client Signed]],DAYS360(G86,I86)," ")</f>
        <v xml:space="preserve"> </v>
      </c>
      <c r="K86" s="112"/>
      <c r="L86" s="112"/>
      <c r="M86" s="169"/>
    </row>
    <row r="87" spans="1:13" x14ac:dyDescent="0.2">
      <c r="A87" s="109"/>
      <c r="B87" s="109"/>
      <c r="C87" s="109"/>
      <c r="D87" s="109"/>
      <c r="E87" s="109"/>
      <c r="F87" s="109"/>
      <c r="G87" s="110"/>
      <c r="H87" s="109"/>
      <c r="I87" s="110">
        <f t="shared" ca="1" si="6"/>
        <v>45103</v>
      </c>
      <c r="J87" s="140" t="str">
        <f>IF(Table1632[[#This Row],[Date
Client Signed]],DAYS360(G87,I87)," ")</f>
        <v xml:space="preserve"> </v>
      </c>
      <c r="K87" s="112"/>
      <c r="L87" s="112"/>
      <c r="M87" s="169"/>
    </row>
    <row r="88" spans="1:13" x14ac:dyDescent="0.2">
      <c r="A88" s="109"/>
      <c r="B88" s="109"/>
      <c r="C88" s="109"/>
      <c r="D88" s="109"/>
      <c r="E88" s="109"/>
      <c r="F88" s="109"/>
      <c r="G88" s="110"/>
      <c r="H88" s="109"/>
      <c r="I88" s="110">
        <f t="shared" ca="1" si="6"/>
        <v>45103</v>
      </c>
      <c r="J88" s="140" t="str">
        <f>IF(Table1632[[#This Row],[Date
Client Signed]],DAYS360(G88,I88)," ")</f>
        <v xml:space="preserve"> </v>
      </c>
      <c r="K88" s="112"/>
      <c r="L88" s="112"/>
      <c r="M88" s="169"/>
    </row>
    <row r="89" spans="1:13" x14ac:dyDescent="0.2">
      <c r="A89" s="109"/>
      <c r="B89" s="109"/>
      <c r="C89" s="109"/>
      <c r="D89" s="109"/>
      <c r="E89" s="109"/>
      <c r="F89" s="109"/>
      <c r="G89" s="110"/>
      <c r="H89" s="109"/>
      <c r="I89" s="110">
        <f t="shared" ca="1" si="6"/>
        <v>45103</v>
      </c>
      <c r="J89" s="140" t="str">
        <f>IF(Table1632[[#This Row],[Date
Client Signed]],DAYS360(G89,I89)," ")</f>
        <v xml:space="preserve"> </v>
      </c>
      <c r="K89" s="112"/>
      <c r="L89" s="112"/>
      <c r="M89" s="169"/>
    </row>
    <row r="90" spans="1:13" x14ac:dyDescent="0.2">
      <c r="A90" s="109"/>
      <c r="B90" s="109"/>
      <c r="C90" s="109"/>
      <c r="D90" s="109"/>
      <c r="E90" s="109"/>
      <c r="F90" s="109"/>
      <c r="G90" s="110"/>
      <c r="H90" s="109"/>
      <c r="I90" s="110">
        <f t="shared" ca="1" si="6"/>
        <v>45103</v>
      </c>
      <c r="J90" s="140" t="str">
        <f>IF(Table1632[[#This Row],[Date
Client Signed]],DAYS360(G90,I90)," ")</f>
        <v xml:space="preserve"> </v>
      </c>
      <c r="K90" s="112"/>
      <c r="L90" s="112"/>
      <c r="M90" s="169"/>
    </row>
    <row r="91" spans="1:13" x14ac:dyDescent="0.2">
      <c r="A91" s="109"/>
      <c r="B91" s="109"/>
      <c r="C91" s="109"/>
      <c r="D91" s="109"/>
      <c r="E91" s="109"/>
      <c r="F91" s="109"/>
      <c r="G91" s="110"/>
      <c r="H91" s="109"/>
      <c r="I91" s="110">
        <f t="shared" ca="1" si="6"/>
        <v>45103</v>
      </c>
      <c r="J91" s="140" t="str">
        <f>IF(Table1632[[#This Row],[Date
Client Signed]],DAYS360(G91,I91)," ")</f>
        <v xml:space="preserve"> </v>
      </c>
      <c r="K91" s="112"/>
      <c r="L91" s="112"/>
      <c r="M91" s="169"/>
    </row>
    <row r="92" spans="1:13" x14ac:dyDescent="0.2">
      <c r="A92" s="116"/>
      <c r="B92" s="109"/>
      <c r="C92" s="109"/>
      <c r="D92" s="109"/>
      <c r="E92" s="109"/>
      <c r="F92" s="109"/>
      <c r="G92" s="110"/>
      <c r="H92" s="110"/>
      <c r="I92" s="138">
        <f t="shared" ca="1" si="1"/>
        <v>45103</v>
      </c>
      <c r="J92" s="140" t="str">
        <f>IF(Table1632[[#This Row],[Date
Client Signed]],DAYS360(G92,I92)," ")</f>
        <v xml:space="preserve"> </v>
      </c>
      <c r="K92" s="112"/>
      <c r="L92" s="112"/>
      <c r="M92" s="151"/>
    </row>
    <row r="93" spans="1:13" x14ac:dyDescent="0.2">
      <c r="A93" s="116"/>
      <c r="B93" s="109"/>
      <c r="C93" s="109"/>
      <c r="D93" s="109"/>
      <c r="E93" s="109"/>
      <c r="F93" s="109"/>
      <c r="G93" s="110"/>
      <c r="H93" s="110"/>
      <c r="I93" s="138">
        <f t="shared" ca="1" si="1"/>
        <v>45103</v>
      </c>
      <c r="J93" s="140" t="str">
        <f>IF(Table1632[[#This Row],[Date
Client Signed]],DAYS360(G93,I93)," ")</f>
        <v xml:space="preserve"> </v>
      </c>
      <c r="K93" s="112"/>
      <c r="L93" s="112"/>
      <c r="M93" s="151"/>
    </row>
    <row r="94" spans="1:13" x14ac:dyDescent="0.2">
      <c r="A94" s="116"/>
      <c r="B94" s="109"/>
      <c r="C94" s="109"/>
      <c r="D94" s="109"/>
      <c r="E94" s="109"/>
      <c r="F94" s="109"/>
      <c r="G94" s="110"/>
      <c r="H94" s="110"/>
      <c r="I94" s="138">
        <f t="shared" ca="1" si="1"/>
        <v>45103</v>
      </c>
      <c r="J94" s="140" t="str">
        <f>IF(Table1632[[#This Row],[Date
Client Signed]],DAYS360(G94,I94)," ")</f>
        <v xml:space="preserve"> </v>
      </c>
      <c r="K94" s="112"/>
      <c r="L94" s="112"/>
      <c r="M94" s="151"/>
    </row>
    <row r="95" spans="1:13" x14ac:dyDescent="0.2">
      <c r="A95" s="116"/>
      <c r="B95" s="109"/>
      <c r="C95" s="109"/>
      <c r="D95" s="109"/>
      <c r="E95" s="109"/>
      <c r="F95" s="109"/>
      <c r="G95" s="110"/>
      <c r="H95" s="110"/>
      <c r="I95" s="138">
        <f t="shared" ca="1" si="1"/>
        <v>45103</v>
      </c>
      <c r="J95" s="140" t="str">
        <f>IF(Table1632[[#This Row],[Date
Client Signed]],DAYS360(G95,I95)," ")</f>
        <v xml:space="preserve"> </v>
      </c>
      <c r="K95" s="112"/>
      <c r="L95" s="112"/>
      <c r="M95" s="151"/>
    </row>
    <row r="96" spans="1:13" x14ac:dyDescent="0.2">
      <c r="A96" s="116"/>
      <c r="B96" s="109"/>
      <c r="C96" s="109"/>
      <c r="D96" s="109"/>
      <c r="E96" s="109"/>
      <c r="F96" s="109"/>
      <c r="G96" s="110"/>
      <c r="H96" s="110"/>
      <c r="I96" s="138">
        <f t="shared" ca="1" si="1"/>
        <v>45103</v>
      </c>
      <c r="J96" s="140" t="str">
        <f>IF(Table1632[[#This Row],[Date
Client Signed]],DAYS360(G96,I96)," ")</f>
        <v xml:space="preserve"> </v>
      </c>
      <c r="K96" s="112"/>
      <c r="L96" s="112"/>
      <c r="M96" s="151"/>
    </row>
    <row r="97" spans="1:13" x14ac:dyDescent="0.2">
      <c r="A97" s="116"/>
      <c r="B97" s="109"/>
      <c r="C97" s="109"/>
      <c r="D97" s="109"/>
      <c r="E97" s="109"/>
      <c r="F97" s="109"/>
      <c r="G97" s="110"/>
      <c r="H97" s="110"/>
      <c r="I97" s="138">
        <f t="shared" ca="1" si="1"/>
        <v>45103</v>
      </c>
      <c r="J97" s="140" t="str">
        <f>IF(Table1632[[#This Row],[Date
Client Signed]],DAYS360(G97,I97)," ")</f>
        <v xml:space="preserve"> </v>
      </c>
      <c r="K97" s="112"/>
      <c r="L97" s="112"/>
      <c r="M97" s="151"/>
    </row>
    <row r="98" spans="1:13" x14ac:dyDescent="0.2">
      <c r="A98" s="116"/>
      <c r="B98" s="109"/>
      <c r="C98" s="109"/>
      <c r="D98" s="109"/>
      <c r="E98" s="109"/>
      <c r="F98" s="109"/>
      <c r="G98" s="110"/>
      <c r="H98" s="110"/>
      <c r="I98" s="138">
        <f t="shared" ca="1" si="1"/>
        <v>45103</v>
      </c>
      <c r="J98" s="140" t="str">
        <f>IF(Table1632[[#This Row],[Date
Client Signed]],DAYS360(G98,I98)," ")</f>
        <v xml:space="preserve"> </v>
      </c>
      <c r="K98" s="112"/>
      <c r="L98" s="112"/>
      <c r="M98" s="151"/>
    </row>
    <row r="99" spans="1:13" x14ac:dyDescent="0.2">
      <c r="A99" s="116"/>
      <c r="B99" s="109"/>
      <c r="C99" s="109"/>
      <c r="D99" s="109"/>
      <c r="E99" s="109"/>
      <c r="F99" s="109"/>
      <c r="G99" s="110"/>
      <c r="H99" s="110"/>
      <c r="I99" s="138">
        <f t="shared" ca="1" si="1"/>
        <v>45103</v>
      </c>
      <c r="J99" s="140" t="str">
        <f>IF(Table1632[[#This Row],[Date
Client Signed]],DAYS360(G99,I99)," ")</f>
        <v xml:space="preserve"> </v>
      </c>
      <c r="K99" s="112"/>
      <c r="L99" s="112"/>
      <c r="M99" s="151"/>
    </row>
    <row r="100" spans="1:13" x14ac:dyDescent="0.2">
      <c r="A100" s="116"/>
      <c r="B100" s="109"/>
      <c r="C100" s="109"/>
      <c r="D100" s="109"/>
      <c r="E100" s="109"/>
      <c r="F100" s="109"/>
      <c r="G100" s="110"/>
      <c r="H100" s="110"/>
      <c r="I100" s="138">
        <f t="shared" ca="1" si="1"/>
        <v>45103</v>
      </c>
      <c r="J100" s="140" t="str">
        <f>IF(Table1632[[#This Row],[Date
Client Signed]],DAYS360(G100,I100)," ")</f>
        <v xml:space="preserve"> </v>
      </c>
      <c r="K100" s="112"/>
      <c r="L100" s="112"/>
      <c r="M100" s="151"/>
    </row>
    <row r="101" spans="1:13" x14ac:dyDescent="0.2">
      <c r="A101" s="116"/>
      <c r="B101" s="109"/>
      <c r="C101" s="109"/>
      <c r="D101" s="109"/>
      <c r="E101" s="109"/>
      <c r="F101" s="109"/>
      <c r="G101" s="110"/>
      <c r="H101" s="110"/>
      <c r="I101" s="138">
        <f t="shared" ca="1" si="1"/>
        <v>45103</v>
      </c>
      <c r="J101" s="140" t="str">
        <f>IF(Table1632[[#This Row],[Date
Client Signed]],DAYS360(G101,I101)," ")</f>
        <v xml:space="preserve"> </v>
      </c>
      <c r="K101" s="112"/>
      <c r="L101" s="112"/>
      <c r="M101" s="151"/>
    </row>
    <row r="102" spans="1:13" x14ac:dyDescent="0.2">
      <c r="A102" s="116"/>
      <c r="B102" s="109"/>
      <c r="C102" s="109"/>
      <c r="D102" s="109"/>
      <c r="E102" s="109"/>
      <c r="F102" s="109"/>
      <c r="G102" s="110"/>
      <c r="H102" s="110"/>
      <c r="I102" s="138">
        <f t="shared" ca="1" si="1"/>
        <v>45103</v>
      </c>
      <c r="J102" s="140" t="str">
        <f>IF(Table1632[[#This Row],[Date
Client Signed]],DAYS360(G102,I102)," ")</f>
        <v xml:space="preserve"> </v>
      </c>
      <c r="K102" s="112"/>
      <c r="L102" s="112"/>
      <c r="M102" s="151"/>
    </row>
    <row r="103" spans="1:13" x14ac:dyDescent="0.2">
      <c r="A103" s="116"/>
      <c r="B103" s="109"/>
      <c r="C103" s="109"/>
      <c r="D103" s="109"/>
      <c r="E103" s="109"/>
      <c r="F103" s="109"/>
      <c r="G103" s="110"/>
      <c r="H103" s="110"/>
      <c r="I103" s="138">
        <f t="shared" ca="1" si="1"/>
        <v>45103</v>
      </c>
      <c r="J103" s="140" t="str">
        <f>IF(Table1632[[#This Row],[Date
Client Signed]],DAYS360(G103,I103)," ")</f>
        <v xml:space="preserve"> </v>
      </c>
      <c r="K103" s="112"/>
      <c r="L103" s="112"/>
      <c r="M103" s="151"/>
    </row>
    <row r="104" spans="1:13" x14ac:dyDescent="0.2">
      <c r="A104" s="116"/>
      <c r="B104" s="109"/>
      <c r="C104" s="109"/>
      <c r="D104" s="109"/>
      <c r="E104" s="109"/>
      <c r="F104" s="109"/>
      <c r="G104" s="110"/>
      <c r="H104" s="110"/>
      <c r="I104" s="138">
        <f t="shared" ca="1" si="1"/>
        <v>45103</v>
      </c>
      <c r="J104" s="140" t="str">
        <f>IF(Table1632[[#This Row],[Date
Client Signed]],DAYS360(G104,I104)," ")</f>
        <v xml:space="preserve"> </v>
      </c>
      <c r="K104" s="112"/>
      <c r="L104" s="112"/>
      <c r="M104" s="151"/>
    </row>
    <row r="105" spans="1:13" x14ac:dyDescent="0.2">
      <c r="A105" s="116"/>
      <c r="B105" s="109"/>
      <c r="C105" s="109"/>
      <c r="D105" s="109"/>
      <c r="E105" s="109"/>
      <c r="F105" s="109"/>
      <c r="G105" s="110"/>
      <c r="H105" s="110"/>
      <c r="I105" s="138">
        <f t="shared" ca="1" si="1"/>
        <v>45103</v>
      </c>
      <c r="J105" s="140" t="str">
        <f>IF(Table1632[[#This Row],[Date
Client Signed]],DAYS360(G105,I105)," ")</f>
        <v xml:space="preserve"> </v>
      </c>
      <c r="K105" s="112"/>
      <c r="L105" s="112"/>
      <c r="M105" s="151"/>
    </row>
    <row r="106" spans="1:13" x14ac:dyDescent="0.2">
      <c r="A106" s="116"/>
      <c r="B106" s="109"/>
      <c r="C106" s="109"/>
      <c r="D106" s="109"/>
      <c r="E106" s="109"/>
      <c r="F106" s="109"/>
      <c r="G106" s="110"/>
      <c r="H106" s="109"/>
      <c r="I106" s="138">
        <f t="shared" ca="1" si="1"/>
        <v>45103</v>
      </c>
      <c r="J106" s="140" t="str">
        <f>IF(Table1632[[#This Row],[Date
Client Signed]],DAYS360(G106,I106)," ")</f>
        <v xml:space="preserve"> </v>
      </c>
      <c r="K106" s="112"/>
      <c r="L106" s="112"/>
      <c r="M106" s="151"/>
    </row>
    <row r="107" spans="1:13" ht="17" thickBot="1" x14ac:dyDescent="0.25">
      <c r="A107" s="152"/>
      <c r="B107" s="153"/>
      <c r="C107" s="153"/>
      <c r="D107" s="154">
        <f>COUNTIF(D14:D106,"*")</f>
        <v>9</v>
      </c>
      <c r="E107" s="155"/>
      <c r="F107" s="155"/>
      <c r="G107" s="155"/>
      <c r="H107" s="155"/>
      <c r="I107" s="156"/>
      <c r="J107" s="157"/>
      <c r="K107" s="158"/>
      <c r="L107" s="158"/>
      <c r="M107" s="159"/>
    </row>
    <row r="108" spans="1:13" x14ac:dyDescent="0.2">
      <c r="A108" s="127"/>
      <c r="B108" s="127"/>
      <c r="C108" s="127"/>
      <c r="D108" s="127"/>
      <c r="E108" s="127"/>
      <c r="F108" s="127"/>
      <c r="G108" s="127"/>
      <c r="H108" s="127"/>
      <c r="I108" s="104"/>
      <c r="J108" s="104"/>
      <c r="K108" s="104"/>
      <c r="L108" s="128"/>
      <c r="M108" s="128"/>
    </row>
    <row r="109" spans="1:13" x14ac:dyDescent="0.2">
      <c r="A109" s="127"/>
      <c r="B109" s="127"/>
      <c r="C109" s="127"/>
      <c r="D109" s="127"/>
      <c r="E109" s="127"/>
      <c r="F109" s="127"/>
      <c r="G109" s="127"/>
      <c r="H109" s="127"/>
      <c r="I109" s="104"/>
      <c r="J109" s="104"/>
      <c r="K109" s="104"/>
      <c r="L109" s="104"/>
      <c r="M109" s="104"/>
    </row>
  </sheetData>
  <sheetProtection sheet="1" objects="1" scenarios="1" selectLockedCells="1"/>
  <mergeCells count="2">
    <mergeCell ref="A1:B1"/>
    <mergeCell ref="A12:M12"/>
  </mergeCells>
  <conditionalFormatting sqref="A3:B9">
    <cfRule type="cellIs" dxfId="10" priority="1" operator="equal">
      <formula>0</formula>
    </cfRule>
  </conditionalFormatting>
  <pageMargins left="0.7" right="0.7" top="0.75" bottom="0.75" header="0.3" footer="0.3"/>
  <pageSetup orientation="portrait" verticalDpi="597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4D4DEC6-56A5-4A85-A432-4AEB2E8354A6}">
          <x14:formula1>
            <xm:f>'Data Source'!$C$6:$C$9</xm:f>
          </x14:formula1>
          <xm:sqref>L14:L106</xm:sqref>
        </x14:dataValidation>
        <x14:dataValidation type="list" allowBlank="1" showInputMessage="1" showErrorMessage="1" xr:uid="{D84BD1C8-C5B3-4D1D-AEEC-2FBE205993E2}">
          <x14:formula1>
            <xm:f>'Data Source'!$B$6:$B$9</xm:f>
          </x14:formula1>
          <xm:sqref>A14:A106</xm:sqref>
        </x14:dataValidation>
        <x14:dataValidation type="list" allowBlank="1" showInputMessage="1" showErrorMessage="1" xr:uid="{25036A00-0659-44F1-9F37-AFC206FC69AB}">
          <x14:formula1>
            <xm:f>'Data Source'!$A$6:$A$9</xm:f>
          </x14:formula1>
          <xm:sqref>D14:D106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4052-E228-49BC-8537-FA8934784612}">
  <sheetPr codeName="Sheet6"/>
  <dimension ref="A1:M164"/>
  <sheetViews>
    <sheetView zoomScale="90" zoomScaleNormal="90" workbookViewId="0">
      <selection activeCell="J13" sqref="J13"/>
    </sheetView>
  </sheetViews>
  <sheetFormatPr baseColWidth="10" defaultColWidth="8.6640625" defaultRowHeight="15" x14ac:dyDescent="0.2"/>
  <cols>
    <col min="1" max="1" width="12.1640625" style="117" bestFit="1" customWidth="1"/>
    <col min="2" max="2" width="12" style="117" bestFit="1" customWidth="1"/>
    <col min="3" max="3" width="13.5" style="117" bestFit="1" customWidth="1"/>
    <col min="4" max="4" width="14.83203125" style="117" bestFit="1" customWidth="1"/>
    <col min="5" max="5" width="12.1640625" style="117" bestFit="1" customWidth="1"/>
    <col min="6" max="6" width="13.5" style="117" bestFit="1" customWidth="1"/>
    <col min="7" max="7" width="14.1640625" style="133" bestFit="1" customWidth="1"/>
    <col min="8" max="8" width="18.5" style="117" bestFit="1" customWidth="1"/>
    <col min="9" max="10" width="12" style="117" bestFit="1" customWidth="1"/>
    <col min="11" max="11" width="12.83203125" style="117" bestFit="1" customWidth="1"/>
    <col min="12" max="13" width="12" style="117" bestFit="1" customWidth="1"/>
    <col min="14" max="16384" width="8.6640625" style="117"/>
  </cols>
  <sheetData>
    <row r="1" spans="1:13" customFormat="1" ht="21" thickBot="1" x14ac:dyDescent="0.25">
      <c r="A1" s="348" t="s">
        <v>30</v>
      </c>
      <c r="B1" s="350" t="s">
        <v>216</v>
      </c>
      <c r="C1" s="351"/>
      <c r="D1" s="351"/>
      <c r="E1" s="351"/>
      <c r="F1" s="352"/>
      <c r="G1" s="353" t="s">
        <v>104</v>
      </c>
      <c r="H1" s="354"/>
      <c r="I1" s="354"/>
      <c r="J1" s="354"/>
      <c r="K1" s="354"/>
      <c r="L1" s="354"/>
      <c r="M1" s="355"/>
    </row>
    <row r="2" spans="1:13" s="42" customFormat="1" ht="46" thickBot="1" x14ac:dyDescent="0.25">
      <c r="A2" s="349"/>
      <c r="B2" s="181" t="str">
        <f>'Data Source'!A6</f>
        <v>Annuity</v>
      </c>
      <c r="C2" s="182" t="str">
        <f>'Data Source'!A7</f>
        <v>AUM</v>
      </c>
      <c r="D2" s="182" t="str">
        <f>'Data Source'!A8</f>
        <v>Life</v>
      </c>
      <c r="E2" s="182" t="str">
        <f>'Data Source'!A9</f>
        <v>Med Supp</v>
      </c>
      <c r="F2" s="101" t="s">
        <v>25</v>
      </c>
      <c r="G2" s="181" t="str">
        <f>'Data Source'!F6</f>
        <v>Fired</v>
      </c>
      <c r="H2" s="183" t="str">
        <f>'Data Source'!F7</f>
        <v>Investment Performance</v>
      </c>
      <c r="I2" s="183" t="str">
        <f>'Data Source'!F8</f>
        <v>Liquidating - Needs Money</v>
      </c>
      <c r="J2" s="183" t="str">
        <f>'Data Source'!F9</f>
        <v>Moving Firms w/ notification</v>
      </c>
      <c r="K2" s="183" t="str">
        <f>'Data Source'!F10</f>
        <v>Moving Firms w/o notification</v>
      </c>
      <c r="L2" s="183" t="str">
        <f>'Data Source'!F11</f>
        <v>Self Managing</v>
      </c>
      <c r="M2" s="184" t="str">
        <f>'Data Source'!F12</f>
        <v>Other</v>
      </c>
    </row>
    <row r="3" spans="1:13" customFormat="1" x14ac:dyDescent="0.2">
      <c r="A3" s="3" t="str">
        <f>'Data Source'!B6</f>
        <v>Chris</v>
      </c>
      <c r="B3" s="185">
        <f t="shared" ref="B3:B9" si="0">SUMIFS($E$13:$E$184,$C$13:$C$184,A3,$D$13:$D$184,$B$2)</f>
        <v>110000</v>
      </c>
      <c r="C3" s="186">
        <f t="shared" ref="C3:C9" si="1">SUMIFS($E$13:$E$184,$C$13:$C$184,A3,$D$13:$D$184,$C$2)</f>
        <v>310000</v>
      </c>
      <c r="D3" s="186">
        <f t="shared" ref="D3:D9" si="2">SUMIFS($E$13:$E$184,$C$13:$C$184,A3,$D$13:$D$184,$D$2)</f>
        <v>6000</v>
      </c>
      <c r="E3" s="186">
        <f t="shared" ref="E3:E9" si="3">SUMIFS($E$13:$E$184,$C$13:$C$184,A3,$D$13:$D$184,$E$2)</f>
        <v>1100</v>
      </c>
      <c r="F3" s="73">
        <f t="shared" ref="F3:F10" si="4">SUM(B3:E3)</f>
        <v>427100</v>
      </c>
      <c r="G3" s="186">
        <f t="shared" ref="G3:G9" si="5">SUMIFS($E$13:$E$184,$C$13:$C$184,A3,$G$13:$G$184,$G$2)</f>
        <v>500</v>
      </c>
      <c r="H3" s="186">
        <f t="shared" ref="H3:H9" si="6">SUMIFS($E$13:$E$184,$C$13:$C$184,A3,$G$13:$G$184,$H$2)</f>
        <v>10000</v>
      </c>
      <c r="I3" s="186">
        <f t="shared" ref="I3:I9" si="7">SUMIFS($E$13:$E$184,$C$13:$C$184,A3,$G$13:$G$184,$I$2)</f>
        <v>80000</v>
      </c>
      <c r="J3" s="186">
        <f t="shared" ref="J3:J9" si="8">SUMIFS($E$13:$E$184,$C$13:$C$184,A3,$G$13:$G$184,$J$2)</f>
        <v>6000</v>
      </c>
      <c r="K3" s="186">
        <f t="shared" ref="K3:K9" si="9">SUMIFS($E$13:$E$184,$C$13:$C$184,A3,$G$13:$G$184,$K$2)</f>
        <v>600</v>
      </c>
      <c r="L3" s="186">
        <f t="shared" ref="L3:L9" si="10">SUMIFS($E$13:$E$184,$C$13:$C$184,A3,$G$13:$G$184,$L$2)</f>
        <v>300000</v>
      </c>
      <c r="M3" s="187">
        <f t="shared" ref="M3:M9" si="11">SUMIFS($E$13:$E$184,$C$13:$C$184,A3,$G$13:$G$184,$M$2)</f>
        <v>30000</v>
      </c>
    </row>
    <row r="4" spans="1:13" customFormat="1" x14ac:dyDescent="0.2">
      <c r="A4" s="3" t="str">
        <f>'Data Source'!B7</f>
        <v>John</v>
      </c>
      <c r="B4" s="188">
        <f t="shared" si="0"/>
        <v>340000</v>
      </c>
      <c r="C4" s="189">
        <f t="shared" si="1"/>
        <v>100000</v>
      </c>
      <c r="D4" s="189">
        <f t="shared" si="2"/>
        <v>16000</v>
      </c>
      <c r="E4" s="189">
        <f t="shared" si="3"/>
        <v>600</v>
      </c>
      <c r="F4" s="43">
        <f t="shared" ref="F4:F9" si="12">SUM(B4:E4)</f>
        <v>456600</v>
      </c>
      <c r="G4" s="189">
        <f t="shared" si="5"/>
        <v>90000</v>
      </c>
      <c r="H4" s="189">
        <f t="shared" si="6"/>
        <v>9000</v>
      </c>
      <c r="I4" s="189">
        <f t="shared" si="7"/>
        <v>200</v>
      </c>
      <c r="J4" s="189">
        <f t="shared" si="8"/>
        <v>100000</v>
      </c>
      <c r="K4" s="189">
        <f t="shared" si="9"/>
        <v>250000</v>
      </c>
      <c r="L4" s="189">
        <f t="shared" si="10"/>
        <v>7000</v>
      </c>
      <c r="M4" s="190">
        <f t="shared" si="11"/>
        <v>400</v>
      </c>
    </row>
    <row r="5" spans="1:13" customFormat="1" x14ac:dyDescent="0.2">
      <c r="A5" s="3" t="str">
        <f>'Data Source'!B8</f>
        <v>Mark</v>
      </c>
      <c r="B5" s="188">
        <f t="shared" si="0"/>
        <v>190000</v>
      </c>
      <c r="C5" s="189">
        <f t="shared" si="1"/>
        <v>675000</v>
      </c>
      <c r="D5" s="189">
        <f t="shared" si="2"/>
        <v>29000</v>
      </c>
      <c r="E5" s="189">
        <f t="shared" si="3"/>
        <v>300</v>
      </c>
      <c r="F5" s="43">
        <f t="shared" si="12"/>
        <v>894300</v>
      </c>
      <c r="G5" s="189">
        <f t="shared" si="5"/>
        <v>85000</v>
      </c>
      <c r="H5" s="189">
        <f t="shared" si="6"/>
        <v>80000</v>
      </c>
      <c r="I5" s="189">
        <f t="shared" si="7"/>
        <v>25000</v>
      </c>
      <c r="J5" s="189">
        <f t="shared" si="8"/>
        <v>300</v>
      </c>
      <c r="K5" s="189">
        <f t="shared" si="9"/>
        <v>650000</v>
      </c>
      <c r="L5" s="189">
        <f t="shared" si="10"/>
        <v>50000</v>
      </c>
      <c r="M5" s="190">
        <f t="shared" si="11"/>
        <v>4000</v>
      </c>
    </row>
    <row r="6" spans="1:13" customFormat="1" x14ac:dyDescent="0.2">
      <c r="A6" s="3" t="str">
        <f>'Data Source'!B9</f>
        <v>Mike</v>
      </c>
      <c r="B6" s="188">
        <f t="shared" si="0"/>
        <v>25000</v>
      </c>
      <c r="C6" s="189">
        <f t="shared" si="1"/>
        <v>170000</v>
      </c>
      <c r="D6" s="189">
        <f t="shared" si="2"/>
        <v>15000</v>
      </c>
      <c r="E6" s="189">
        <f t="shared" si="3"/>
        <v>800</v>
      </c>
      <c r="F6" s="43">
        <f t="shared" si="12"/>
        <v>210800</v>
      </c>
      <c r="G6" s="189">
        <f t="shared" si="5"/>
        <v>5000</v>
      </c>
      <c r="H6" s="189">
        <f t="shared" si="6"/>
        <v>100</v>
      </c>
      <c r="I6" s="189">
        <f t="shared" si="7"/>
        <v>80000</v>
      </c>
      <c r="J6" s="189">
        <f t="shared" si="8"/>
        <v>25000</v>
      </c>
      <c r="K6" s="189">
        <f t="shared" si="9"/>
        <v>10000</v>
      </c>
      <c r="L6" s="189">
        <f t="shared" si="10"/>
        <v>700</v>
      </c>
      <c r="M6" s="190">
        <f t="shared" si="11"/>
        <v>90000</v>
      </c>
    </row>
    <row r="7" spans="1:13" customFormat="1" x14ac:dyDescent="0.2">
      <c r="A7" s="3">
        <f>'Data Source'!B10</f>
        <v>0</v>
      </c>
      <c r="B7" s="188">
        <f t="shared" si="0"/>
        <v>0</v>
      </c>
      <c r="C7" s="189">
        <f t="shared" si="1"/>
        <v>0</v>
      </c>
      <c r="D7" s="189">
        <f t="shared" si="2"/>
        <v>0</v>
      </c>
      <c r="E7" s="189">
        <f t="shared" si="3"/>
        <v>0</v>
      </c>
      <c r="F7" s="43">
        <f t="shared" si="12"/>
        <v>0</v>
      </c>
      <c r="G7" s="189">
        <f t="shared" si="5"/>
        <v>0</v>
      </c>
      <c r="H7" s="189">
        <f t="shared" si="6"/>
        <v>0</v>
      </c>
      <c r="I7" s="189">
        <f t="shared" si="7"/>
        <v>0</v>
      </c>
      <c r="J7" s="189">
        <f t="shared" si="8"/>
        <v>0</v>
      </c>
      <c r="K7" s="189">
        <f t="shared" si="9"/>
        <v>0</v>
      </c>
      <c r="L7" s="189">
        <f t="shared" si="10"/>
        <v>0</v>
      </c>
      <c r="M7" s="190">
        <f t="shared" si="11"/>
        <v>0</v>
      </c>
    </row>
    <row r="8" spans="1:13" customFormat="1" x14ac:dyDescent="0.2">
      <c r="A8" s="3">
        <f>'Data Source'!B11</f>
        <v>0</v>
      </c>
      <c r="B8" s="188">
        <f t="shared" si="0"/>
        <v>0</v>
      </c>
      <c r="C8" s="189">
        <f t="shared" si="1"/>
        <v>0</v>
      </c>
      <c r="D8" s="189">
        <f t="shared" si="2"/>
        <v>0</v>
      </c>
      <c r="E8" s="189">
        <f t="shared" si="3"/>
        <v>0</v>
      </c>
      <c r="F8" s="43">
        <f t="shared" si="12"/>
        <v>0</v>
      </c>
      <c r="G8" s="189">
        <f t="shared" si="5"/>
        <v>0</v>
      </c>
      <c r="H8" s="189">
        <f t="shared" si="6"/>
        <v>0</v>
      </c>
      <c r="I8" s="189">
        <f t="shared" si="7"/>
        <v>0</v>
      </c>
      <c r="J8" s="189">
        <f t="shared" si="8"/>
        <v>0</v>
      </c>
      <c r="K8" s="189">
        <f t="shared" si="9"/>
        <v>0</v>
      </c>
      <c r="L8" s="189">
        <f t="shared" si="10"/>
        <v>0</v>
      </c>
      <c r="M8" s="190">
        <f t="shared" si="11"/>
        <v>0</v>
      </c>
    </row>
    <row r="9" spans="1:13" customFormat="1" ht="16" thickBot="1" x14ac:dyDescent="0.25">
      <c r="A9" s="3">
        <f>'Data Source'!B12</f>
        <v>0</v>
      </c>
      <c r="B9" s="191">
        <f t="shared" si="0"/>
        <v>0</v>
      </c>
      <c r="C9" s="192">
        <f t="shared" si="1"/>
        <v>0</v>
      </c>
      <c r="D9" s="192">
        <f t="shared" si="2"/>
        <v>0</v>
      </c>
      <c r="E9" s="192">
        <f t="shared" si="3"/>
        <v>0</v>
      </c>
      <c r="F9" s="74">
        <f t="shared" si="12"/>
        <v>0</v>
      </c>
      <c r="G9" s="192">
        <f t="shared" si="5"/>
        <v>0</v>
      </c>
      <c r="H9" s="192">
        <f t="shared" si="6"/>
        <v>0</v>
      </c>
      <c r="I9" s="192">
        <f t="shared" si="7"/>
        <v>0</v>
      </c>
      <c r="J9" s="192">
        <f t="shared" si="8"/>
        <v>0</v>
      </c>
      <c r="K9" s="192">
        <f t="shared" si="9"/>
        <v>0</v>
      </c>
      <c r="L9" s="192">
        <f t="shared" si="10"/>
        <v>0</v>
      </c>
      <c r="M9" s="193">
        <f t="shared" si="11"/>
        <v>0</v>
      </c>
    </row>
    <row r="10" spans="1:13" customFormat="1" ht="17" thickBot="1" x14ac:dyDescent="0.25">
      <c r="A10" s="5" t="s">
        <v>34</v>
      </c>
      <c r="B10" s="28">
        <f>SUM(B3:B6)</f>
        <v>665000</v>
      </c>
      <c r="C10" s="29">
        <f>SUM(C3:C6)</f>
        <v>1255000</v>
      </c>
      <c r="D10" s="29">
        <f>SUM(D3:D6)</f>
        <v>66000</v>
      </c>
      <c r="E10" s="29">
        <f>SUM(E3:E6)</f>
        <v>2800</v>
      </c>
      <c r="F10" s="72">
        <f t="shared" si="4"/>
        <v>1988800</v>
      </c>
      <c r="G10" s="28">
        <f t="shared" ref="G10:M10" si="13">SUM(G3:G6)</f>
        <v>180500</v>
      </c>
      <c r="H10" s="29">
        <f t="shared" si="13"/>
        <v>99100</v>
      </c>
      <c r="I10" s="29">
        <f t="shared" si="13"/>
        <v>185200</v>
      </c>
      <c r="J10" s="29">
        <f t="shared" si="13"/>
        <v>131300</v>
      </c>
      <c r="K10" s="29">
        <f t="shared" si="13"/>
        <v>910600</v>
      </c>
      <c r="L10" s="29">
        <f t="shared" si="13"/>
        <v>357700</v>
      </c>
      <c r="M10" s="194">
        <f t="shared" si="13"/>
        <v>124400</v>
      </c>
    </row>
    <row r="11" spans="1:13" x14ac:dyDescent="0.2">
      <c r="L11" s="170"/>
    </row>
    <row r="12" spans="1:13" s="264" customFormat="1" ht="33" thickBot="1" x14ac:dyDescent="0.25">
      <c r="A12" s="261" t="s">
        <v>105</v>
      </c>
      <c r="B12" s="261" t="s">
        <v>94</v>
      </c>
      <c r="C12" s="261" t="s">
        <v>30</v>
      </c>
      <c r="D12" s="262" t="s">
        <v>260</v>
      </c>
      <c r="E12" s="263" t="s">
        <v>261</v>
      </c>
      <c r="F12" s="261" t="s">
        <v>95</v>
      </c>
      <c r="G12" s="262" t="s">
        <v>96</v>
      </c>
      <c r="H12" s="262" t="s">
        <v>55</v>
      </c>
    </row>
    <row r="13" spans="1:13" ht="32" x14ac:dyDescent="0.2">
      <c r="A13" s="265" t="s">
        <v>146</v>
      </c>
      <c r="B13" s="267" t="s">
        <v>169</v>
      </c>
      <c r="C13" s="171" t="s">
        <v>31</v>
      </c>
      <c r="D13" s="171" t="s">
        <v>12</v>
      </c>
      <c r="E13" s="172">
        <v>10000</v>
      </c>
      <c r="F13" s="173">
        <v>44564</v>
      </c>
      <c r="G13" s="174" t="s">
        <v>102</v>
      </c>
      <c r="H13" s="175" t="s">
        <v>194</v>
      </c>
    </row>
    <row r="14" spans="1:13" ht="30" x14ac:dyDescent="0.2">
      <c r="A14" s="266" t="s">
        <v>147</v>
      </c>
      <c r="B14" s="268" t="s">
        <v>170</v>
      </c>
      <c r="C14" s="176" t="s">
        <v>31</v>
      </c>
      <c r="D14" s="176" t="s">
        <v>12</v>
      </c>
      <c r="E14" s="177">
        <v>300000</v>
      </c>
      <c r="F14" s="178">
        <v>44617</v>
      </c>
      <c r="G14" s="179" t="s">
        <v>101</v>
      </c>
      <c r="H14" s="180" t="s">
        <v>195</v>
      </c>
    </row>
    <row r="15" spans="1:13" ht="32" x14ac:dyDescent="0.2">
      <c r="A15" s="266" t="s">
        <v>148</v>
      </c>
      <c r="B15" s="268" t="s">
        <v>171</v>
      </c>
      <c r="C15" s="176" t="s">
        <v>31</v>
      </c>
      <c r="D15" s="176" t="s">
        <v>23</v>
      </c>
      <c r="E15" s="177">
        <v>80000</v>
      </c>
      <c r="F15" s="178">
        <v>44621</v>
      </c>
      <c r="G15" s="179" t="s">
        <v>99</v>
      </c>
      <c r="H15" s="180" t="s">
        <v>196</v>
      </c>
    </row>
    <row r="16" spans="1:13" ht="16" x14ac:dyDescent="0.2">
      <c r="A16" s="266" t="s">
        <v>149</v>
      </c>
      <c r="B16" s="268" t="s">
        <v>172</v>
      </c>
      <c r="C16" s="176" t="s">
        <v>31</v>
      </c>
      <c r="D16" s="176" t="s">
        <v>23</v>
      </c>
      <c r="E16" s="177">
        <v>30000</v>
      </c>
      <c r="F16" s="178">
        <v>44570</v>
      </c>
      <c r="G16" s="179" t="s">
        <v>103</v>
      </c>
      <c r="H16" s="180" t="s">
        <v>198</v>
      </c>
    </row>
    <row r="17" spans="1:8" ht="32" x14ac:dyDescent="0.2">
      <c r="A17" s="266" t="s">
        <v>150</v>
      </c>
      <c r="B17" s="268" t="s">
        <v>173</v>
      </c>
      <c r="C17" s="176" t="s">
        <v>31</v>
      </c>
      <c r="D17" s="176" t="s">
        <v>24</v>
      </c>
      <c r="E17" s="177">
        <v>6000</v>
      </c>
      <c r="F17" s="178">
        <v>44627</v>
      </c>
      <c r="G17" s="179" t="s">
        <v>100</v>
      </c>
      <c r="H17" s="180" t="s">
        <v>197</v>
      </c>
    </row>
    <row r="18" spans="1:8" ht="30" x14ac:dyDescent="0.2">
      <c r="A18" s="266" t="s">
        <v>151</v>
      </c>
      <c r="B18" s="268" t="s">
        <v>174</v>
      </c>
      <c r="C18" s="176" t="s">
        <v>31</v>
      </c>
      <c r="D18" s="176" t="s">
        <v>56</v>
      </c>
      <c r="E18" s="177">
        <v>500</v>
      </c>
      <c r="F18" s="178">
        <v>44607</v>
      </c>
      <c r="G18" s="179" t="s">
        <v>97</v>
      </c>
      <c r="H18" s="180" t="s">
        <v>145</v>
      </c>
    </row>
    <row r="19" spans="1:8" ht="32" x14ac:dyDescent="0.2">
      <c r="A19" s="266" t="s">
        <v>152</v>
      </c>
      <c r="B19" s="268" t="s">
        <v>175</v>
      </c>
      <c r="C19" s="176" t="s">
        <v>31</v>
      </c>
      <c r="D19" s="176" t="s">
        <v>56</v>
      </c>
      <c r="E19" s="177">
        <v>600</v>
      </c>
      <c r="F19" s="178">
        <v>44577</v>
      </c>
      <c r="G19" s="179" t="s">
        <v>98</v>
      </c>
      <c r="H19" s="180"/>
    </row>
    <row r="20" spans="1:8" ht="32" x14ac:dyDescent="0.2">
      <c r="A20" s="266" t="s">
        <v>18</v>
      </c>
      <c r="B20" s="268" t="s">
        <v>176</v>
      </c>
      <c r="C20" s="176" t="s">
        <v>33</v>
      </c>
      <c r="D20" s="176" t="s">
        <v>12</v>
      </c>
      <c r="E20" s="177">
        <v>100000</v>
      </c>
      <c r="F20" s="178">
        <v>44593</v>
      </c>
      <c r="G20" s="179" t="s">
        <v>100</v>
      </c>
      <c r="H20" s="180" t="s">
        <v>199</v>
      </c>
    </row>
    <row r="21" spans="1:8" ht="30" x14ac:dyDescent="0.2">
      <c r="A21" s="266" t="s">
        <v>153</v>
      </c>
      <c r="B21" s="268" t="s">
        <v>177</v>
      </c>
      <c r="C21" s="176" t="s">
        <v>33</v>
      </c>
      <c r="D21" s="176" t="s">
        <v>23</v>
      </c>
      <c r="E21" s="177">
        <v>90000</v>
      </c>
      <c r="F21" s="178">
        <v>44626</v>
      </c>
      <c r="G21" s="179" t="s">
        <v>97</v>
      </c>
      <c r="H21" s="180" t="s">
        <v>145</v>
      </c>
    </row>
    <row r="22" spans="1:8" ht="32" x14ac:dyDescent="0.2">
      <c r="A22" s="266" t="s">
        <v>154</v>
      </c>
      <c r="B22" s="268" t="s">
        <v>178</v>
      </c>
      <c r="C22" s="176" t="s">
        <v>33</v>
      </c>
      <c r="D22" s="176" t="s">
        <v>23</v>
      </c>
      <c r="E22" s="177">
        <v>250000</v>
      </c>
      <c r="F22" s="178">
        <v>44579</v>
      </c>
      <c r="G22" s="179" t="s">
        <v>98</v>
      </c>
      <c r="H22" s="180"/>
    </row>
    <row r="23" spans="1:8" ht="32" x14ac:dyDescent="0.2">
      <c r="A23" s="266" t="s">
        <v>155</v>
      </c>
      <c r="B23" s="268" t="s">
        <v>179</v>
      </c>
      <c r="C23" s="176" t="s">
        <v>33</v>
      </c>
      <c r="D23" s="176" t="s">
        <v>24</v>
      </c>
      <c r="E23" s="177">
        <v>9000</v>
      </c>
      <c r="F23" s="178">
        <v>44620</v>
      </c>
      <c r="G23" s="179" t="s">
        <v>102</v>
      </c>
      <c r="H23" s="180" t="s">
        <v>200</v>
      </c>
    </row>
    <row r="24" spans="1:8" ht="30" x14ac:dyDescent="0.2">
      <c r="A24" s="266" t="s">
        <v>129</v>
      </c>
      <c r="B24" s="268" t="s">
        <v>180</v>
      </c>
      <c r="C24" s="176" t="s">
        <v>33</v>
      </c>
      <c r="D24" s="176" t="s">
        <v>24</v>
      </c>
      <c r="E24" s="177">
        <v>7000</v>
      </c>
      <c r="F24" s="178">
        <v>44596</v>
      </c>
      <c r="G24" s="179" t="s">
        <v>101</v>
      </c>
      <c r="H24" s="180" t="s">
        <v>195</v>
      </c>
    </row>
    <row r="25" spans="1:8" ht="32" x14ac:dyDescent="0.2">
      <c r="A25" s="266" t="s">
        <v>156</v>
      </c>
      <c r="B25" s="268" t="s">
        <v>181</v>
      </c>
      <c r="C25" s="176" t="s">
        <v>33</v>
      </c>
      <c r="D25" s="176" t="s">
        <v>56</v>
      </c>
      <c r="E25" s="177">
        <v>200</v>
      </c>
      <c r="F25" s="178">
        <v>44592</v>
      </c>
      <c r="G25" s="179" t="s">
        <v>99</v>
      </c>
      <c r="H25" s="180"/>
    </row>
    <row r="26" spans="1:8" ht="16" x14ac:dyDescent="0.2">
      <c r="A26" s="266" t="s">
        <v>123</v>
      </c>
      <c r="B26" s="268" t="s">
        <v>182</v>
      </c>
      <c r="C26" s="176" t="s">
        <v>33</v>
      </c>
      <c r="D26" s="176" t="s">
        <v>56</v>
      </c>
      <c r="E26" s="177">
        <v>400</v>
      </c>
      <c r="F26" s="178">
        <v>44622</v>
      </c>
      <c r="G26" s="179" t="s">
        <v>103</v>
      </c>
      <c r="H26" s="180" t="s">
        <v>201</v>
      </c>
    </row>
    <row r="27" spans="1:8" ht="30" x14ac:dyDescent="0.2">
      <c r="A27" s="266" t="s">
        <v>143</v>
      </c>
      <c r="B27" s="268" t="s">
        <v>120</v>
      </c>
      <c r="C27" s="176" t="s">
        <v>17</v>
      </c>
      <c r="D27" s="176" t="s">
        <v>12</v>
      </c>
      <c r="E27" s="177">
        <v>25000</v>
      </c>
      <c r="F27" s="178">
        <v>44573</v>
      </c>
      <c r="G27" s="179" t="s">
        <v>97</v>
      </c>
      <c r="H27" s="180" t="s">
        <v>145</v>
      </c>
    </row>
    <row r="28" spans="1:8" ht="32" x14ac:dyDescent="0.2">
      <c r="A28" s="266" t="s">
        <v>121</v>
      </c>
      <c r="B28" s="268" t="s">
        <v>183</v>
      </c>
      <c r="C28" s="176" t="s">
        <v>17</v>
      </c>
      <c r="D28" s="176" t="s">
        <v>12</v>
      </c>
      <c r="E28" s="177">
        <v>650000</v>
      </c>
      <c r="F28" s="178">
        <v>44580</v>
      </c>
      <c r="G28" s="179" t="s">
        <v>98</v>
      </c>
      <c r="H28" s="180"/>
    </row>
    <row r="29" spans="1:8" ht="32" x14ac:dyDescent="0.2">
      <c r="A29" s="266" t="s">
        <v>157</v>
      </c>
      <c r="B29" s="268" t="s">
        <v>184</v>
      </c>
      <c r="C29" s="176" t="s">
        <v>17</v>
      </c>
      <c r="D29" s="176" t="s">
        <v>23</v>
      </c>
      <c r="E29" s="177">
        <v>80000</v>
      </c>
      <c r="F29" s="178">
        <v>44591</v>
      </c>
      <c r="G29" s="179" t="s">
        <v>102</v>
      </c>
      <c r="H29" s="180" t="s">
        <v>202</v>
      </c>
    </row>
    <row r="30" spans="1:8" ht="30" x14ac:dyDescent="0.2">
      <c r="A30" s="266" t="s">
        <v>158</v>
      </c>
      <c r="B30" s="268" t="s">
        <v>185</v>
      </c>
      <c r="C30" s="176" t="s">
        <v>17</v>
      </c>
      <c r="D30" s="176" t="s">
        <v>23</v>
      </c>
      <c r="E30" s="177">
        <v>50000</v>
      </c>
      <c r="F30" s="178">
        <v>44602</v>
      </c>
      <c r="G30" s="179" t="s">
        <v>101</v>
      </c>
      <c r="H30" s="180" t="s">
        <v>195</v>
      </c>
    </row>
    <row r="31" spans="1:8" ht="32" x14ac:dyDescent="0.2">
      <c r="A31" s="266" t="s">
        <v>159</v>
      </c>
      <c r="B31" s="268" t="s">
        <v>186</v>
      </c>
      <c r="C31" s="176" t="s">
        <v>17</v>
      </c>
      <c r="D31" s="176" t="s">
        <v>24</v>
      </c>
      <c r="E31" s="177">
        <v>25000</v>
      </c>
      <c r="F31" s="178">
        <v>44567</v>
      </c>
      <c r="G31" s="179" t="s">
        <v>99</v>
      </c>
      <c r="H31" s="180" t="s">
        <v>203</v>
      </c>
    </row>
    <row r="32" spans="1:8" ht="16" x14ac:dyDescent="0.2">
      <c r="A32" s="266" t="s">
        <v>160</v>
      </c>
      <c r="B32" s="268" t="s">
        <v>187</v>
      </c>
      <c r="C32" s="176" t="s">
        <v>17</v>
      </c>
      <c r="D32" s="176" t="s">
        <v>24</v>
      </c>
      <c r="E32" s="177">
        <v>4000</v>
      </c>
      <c r="F32" s="178">
        <v>44621</v>
      </c>
      <c r="G32" s="179" t="s">
        <v>103</v>
      </c>
      <c r="H32" s="180" t="s">
        <v>204</v>
      </c>
    </row>
    <row r="33" spans="1:8" ht="32" x14ac:dyDescent="0.2">
      <c r="A33" s="266" t="s">
        <v>161</v>
      </c>
      <c r="B33" s="268" t="s">
        <v>119</v>
      </c>
      <c r="C33" s="176" t="s">
        <v>17</v>
      </c>
      <c r="D33" s="176" t="s">
        <v>56</v>
      </c>
      <c r="E33" s="177">
        <v>300</v>
      </c>
      <c r="F33" s="178">
        <v>44566</v>
      </c>
      <c r="G33" s="179" t="s">
        <v>100</v>
      </c>
      <c r="H33" s="180" t="s">
        <v>205</v>
      </c>
    </row>
    <row r="34" spans="1:8" ht="32" x14ac:dyDescent="0.2">
      <c r="A34" s="266" t="s">
        <v>162</v>
      </c>
      <c r="B34" s="268" t="s">
        <v>127</v>
      </c>
      <c r="C34" s="176" t="s">
        <v>32</v>
      </c>
      <c r="D34" s="176" t="s">
        <v>12</v>
      </c>
      <c r="E34" s="177">
        <v>80000</v>
      </c>
      <c r="F34" s="178">
        <v>44623</v>
      </c>
      <c r="G34" s="179" t="s">
        <v>99</v>
      </c>
      <c r="H34" s="180" t="s">
        <v>206</v>
      </c>
    </row>
    <row r="35" spans="1:8" ht="30" x14ac:dyDescent="0.2">
      <c r="A35" s="266" t="s">
        <v>163</v>
      </c>
      <c r="B35" s="268" t="s">
        <v>188</v>
      </c>
      <c r="C35" s="176" t="s">
        <v>32</v>
      </c>
      <c r="D35" s="176" t="s">
        <v>12</v>
      </c>
      <c r="E35" s="177">
        <v>90000</v>
      </c>
      <c r="F35" s="178">
        <v>44618</v>
      </c>
      <c r="G35" s="179" t="s">
        <v>103</v>
      </c>
      <c r="H35" s="180" t="s">
        <v>207</v>
      </c>
    </row>
    <row r="36" spans="1:8" ht="32" x14ac:dyDescent="0.2">
      <c r="A36" s="266" t="s">
        <v>164</v>
      </c>
      <c r="B36" s="268" t="s">
        <v>189</v>
      </c>
      <c r="C36" s="176" t="s">
        <v>32</v>
      </c>
      <c r="D36" s="176" t="s">
        <v>23</v>
      </c>
      <c r="E36" s="177">
        <v>25000</v>
      </c>
      <c r="F36" s="178">
        <v>44582</v>
      </c>
      <c r="G36" s="179" t="s">
        <v>100</v>
      </c>
      <c r="H36" s="180" t="s">
        <v>204</v>
      </c>
    </row>
    <row r="37" spans="1:8" ht="30" x14ac:dyDescent="0.2">
      <c r="A37" s="266" t="s">
        <v>165</v>
      </c>
      <c r="B37" s="268" t="s">
        <v>190</v>
      </c>
      <c r="C37" s="176" t="s">
        <v>32</v>
      </c>
      <c r="D37" s="176" t="s">
        <v>24</v>
      </c>
      <c r="E37" s="177">
        <v>5000</v>
      </c>
      <c r="F37" s="178">
        <v>44621</v>
      </c>
      <c r="G37" s="179" t="s">
        <v>97</v>
      </c>
      <c r="H37" s="180" t="s">
        <v>145</v>
      </c>
    </row>
    <row r="38" spans="1:8" ht="32" x14ac:dyDescent="0.2">
      <c r="A38" s="266" t="s">
        <v>166</v>
      </c>
      <c r="B38" s="268" t="s">
        <v>191</v>
      </c>
      <c r="C38" s="176" t="s">
        <v>32</v>
      </c>
      <c r="D38" s="176" t="s">
        <v>24</v>
      </c>
      <c r="E38" s="177">
        <v>10000</v>
      </c>
      <c r="F38" s="178">
        <v>44566</v>
      </c>
      <c r="G38" s="179" t="s">
        <v>98</v>
      </c>
      <c r="H38" s="180"/>
    </row>
    <row r="39" spans="1:8" ht="32" x14ac:dyDescent="0.2">
      <c r="A39" s="266" t="s">
        <v>167</v>
      </c>
      <c r="B39" s="268" t="s">
        <v>192</v>
      </c>
      <c r="C39" s="176" t="s">
        <v>32</v>
      </c>
      <c r="D39" s="176" t="s">
        <v>56</v>
      </c>
      <c r="E39" s="177">
        <v>100</v>
      </c>
      <c r="F39" s="178">
        <v>44607</v>
      </c>
      <c r="G39" s="179" t="s">
        <v>102</v>
      </c>
      <c r="H39" s="180" t="s">
        <v>208</v>
      </c>
    </row>
    <row r="40" spans="1:8" ht="30" x14ac:dyDescent="0.2">
      <c r="A40" s="266" t="s">
        <v>168</v>
      </c>
      <c r="B40" s="268" t="s">
        <v>193</v>
      </c>
      <c r="C40" s="176" t="s">
        <v>32</v>
      </c>
      <c r="D40" s="176" t="s">
        <v>56</v>
      </c>
      <c r="E40" s="177">
        <v>700</v>
      </c>
      <c r="F40" s="178">
        <v>44589</v>
      </c>
      <c r="G40" s="179" t="s">
        <v>101</v>
      </c>
      <c r="H40" s="180" t="s">
        <v>195</v>
      </c>
    </row>
    <row r="41" spans="1:8" ht="30" x14ac:dyDescent="0.2">
      <c r="A41" s="266" t="s">
        <v>143</v>
      </c>
      <c r="B41" s="268" t="s">
        <v>120</v>
      </c>
      <c r="C41" s="176" t="s">
        <v>17</v>
      </c>
      <c r="D41" s="176" t="s">
        <v>23</v>
      </c>
      <c r="E41" s="177">
        <v>50000</v>
      </c>
      <c r="F41" s="178">
        <v>44573</v>
      </c>
      <c r="G41" s="179" t="s">
        <v>97</v>
      </c>
      <c r="H41" s="180" t="s">
        <v>145</v>
      </c>
    </row>
    <row r="42" spans="1:8" ht="30" x14ac:dyDescent="0.2">
      <c r="A42" s="266" t="s">
        <v>143</v>
      </c>
      <c r="B42" s="268" t="s">
        <v>120</v>
      </c>
      <c r="C42" s="176" t="s">
        <v>17</v>
      </c>
      <c r="D42" s="176" t="s">
        <v>23</v>
      </c>
      <c r="E42" s="177">
        <v>10000</v>
      </c>
      <c r="F42" s="178">
        <v>44573</v>
      </c>
      <c r="G42" s="179" t="s">
        <v>97</v>
      </c>
      <c r="H42" s="180" t="s">
        <v>145</v>
      </c>
    </row>
    <row r="43" spans="1:8" x14ac:dyDescent="0.2">
      <c r="A43" s="266"/>
      <c r="B43" s="268"/>
      <c r="C43" s="176"/>
      <c r="D43" s="176"/>
      <c r="E43" s="177"/>
      <c r="F43" s="178"/>
      <c r="G43" s="179"/>
      <c r="H43" s="180"/>
    </row>
    <row r="44" spans="1:8" x14ac:dyDescent="0.2">
      <c r="A44" s="266"/>
      <c r="B44" s="268"/>
      <c r="C44" s="176"/>
      <c r="D44" s="176"/>
      <c r="E44" s="177"/>
      <c r="F44" s="178"/>
      <c r="G44" s="179"/>
      <c r="H44" s="180"/>
    </row>
    <row r="45" spans="1:8" x14ac:dyDescent="0.2">
      <c r="A45" s="266"/>
      <c r="B45" s="268"/>
      <c r="C45" s="176"/>
      <c r="D45" s="176"/>
      <c r="E45" s="177"/>
      <c r="F45" s="178"/>
      <c r="G45" s="179"/>
      <c r="H45" s="180"/>
    </row>
    <row r="46" spans="1:8" x14ac:dyDescent="0.2">
      <c r="A46" s="266"/>
      <c r="B46" s="268"/>
      <c r="C46" s="176"/>
      <c r="D46" s="176"/>
      <c r="E46" s="177"/>
      <c r="F46" s="178"/>
      <c r="G46" s="179"/>
      <c r="H46" s="180"/>
    </row>
    <row r="47" spans="1:8" x14ac:dyDescent="0.2">
      <c r="A47" s="266"/>
      <c r="B47" s="268"/>
      <c r="C47" s="176"/>
      <c r="D47" s="176"/>
      <c r="E47" s="177"/>
      <c r="F47" s="178"/>
      <c r="G47" s="179"/>
      <c r="H47" s="180"/>
    </row>
    <row r="48" spans="1:8" x14ac:dyDescent="0.2">
      <c r="A48" s="266"/>
      <c r="B48" s="268"/>
      <c r="C48" s="176"/>
      <c r="D48" s="176"/>
      <c r="E48" s="177"/>
      <c r="F48" s="178"/>
      <c r="G48" s="179"/>
      <c r="H48" s="180"/>
    </row>
    <row r="49" spans="1:8" x14ac:dyDescent="0.2">
      <c r="A49" s="266"/>
      <c r="B49" s="268"/>
      <c r="C49" s="176"/>
      <c r="D49" s="176"/>
      <c r="E49" s="177"/>
      <c r="F49" s="178"/>
      <c r="G49" s="179"/>
      <c r="H49" s="180"/>
    </row>
    <row r="50" spans="1:8" x14ac:dyDescent="0.2">
      <c r="A50" s="266"/>
      <c r="B50" s="268"/>
      <c r="C50" s="176"/>
      <c r="D50" s="176"/>
      <c r="E50" s="177"/>
      <c r="F50" s="178"/>
      <c r="G50" s="179"/>
      <c r="H50" s="180"/>
    </row>
    <row r="51" spans="1:8" x14ac:dyDescent="0.2">
      <c r="A51" s="266"/>
      <c r="B51" s="268"/>
      <c r="C51" s="176"/>
      <c r="D51" s="176"/>
      <c r="E51" s="177"/>
      <c r="F51" s="178"/>
      <c r="G51" s="179"/>
      <c r="H51" s="180"/>
    </row>
    <row r="52" spans="1:8" x14ac:dyDescent="0.2">
      <c r="A52" s="266"/>
      <c r="B52" s="268"/>
      <c r="C52" s="176"/>
      <c r="D52" s="176"/>
      <c r="E52" s="177"/>
      <c r="F52" s="178"/>
      <c r="G52" s="179"/>
      <c r="H52" s="180"/>
    </row>
    <row r="53" spans="1:8" x14ac:dyDescent="0.2">
      <c r="A53" s="266"/>
      <c r="B53" s="268"/>
      <c r="C53" s="176"/>
      <c r="D53" s="176"/>
      <c r="E53" s="177"/>
      <c r="F53" s="178"/>
      <c r="G53" s="179"/>
      <c r="H53" s="180"/>
    </row>
    <row r="54" spans="1:8" x14ac:dyDescent="0.2">
      <c r="A54" s="266"/>
      <c r="B54" s="268"/>
      <c r="C54" s="176"/>
      <c r="D54" s="176"/>
      <c r="E54" s="177"/>
      <c r="F54" s="178"/>
      <c r="G54" s="179"/>
      <c r="H54" s="180"/>
    </row>
    <row r="55" spans="1:8" x14ac:dyDescent="0.2">
      <c r="A55" s="266"/>
      <c r="B55" s="268"/>
      <c r="C55" s="176"/>
      <c r="D55" s="176"/>
      <c r="E55" s="177"/>
      <c r="F55" s="178"/>
      <c r="G55" s="179"/>
      <c r="H55" s="180"/>
    </row>
    <row r="56" spans="1:8" x14ac:dyDescent="0.2">
      <c r="A56" s="266"/>
      <c r="B56" s="268"/>
      <c r="C56" s="176"/>
      <c r="D56" s="176"/>
      <c r="E56" s="177"/>
      <c r="F56" s="178"/>
      <c r="G56" s="179"/>
      <c r="H56" s="180"/>
    </row>
    <row r="57" spans="1:8" x14ac:dyDescent="0.2">
      <c r="A57" s="266"/>
      <c r="B57" s="268"/>
      <c r="C57" s="176"/>
      <c r="D57" s="176"/>
      <c r="E57" s="177"/>
      <c r="F57" s="178"/>
      <c r="G57" s="179"/>
      <c r="H57" s="180"/>
    </row>
    <row r="58" spans="1:8" x14ac:dyDescent="0.2">
      <c r="A58" s="266"/>
      <c r="B58" s="268"/>
      <c r="C58" s="176"/>
      <c r="D58" s="176"/>
      <c r="E58" s="177"/>
      <c r="F58" s="178"/>
      <c r="G58" s="179"/>
      <c r="H58" s="180"/>
    </row>
    <row r="59" spans="1:8" x14ac:dyDescent="0.2">
      <c r="A59" s="266"/>
      <c r="B59" s="268"/>
      <c r="C59" s="176"/>
      <c r="D59" s="176"/>
      <c r="E59" s="177"/>
      <c r="F59" s="178"/>
      <c r="G59" s="179"/>
      <c r="H59" s="180"/>
    </row>
    <row r="60" spans="1:8" x14ac:dyDescent="0.2">
      <c r="A60" s="266"/>
      <c r="B60" s="268"/>
      <c r="C60" s="176"/>
      <c r="D60" s="176"/>
      <c r="E60" s="177"/>
      <c r="F60" s="178"/>
      <c r="G60" s="179"/>
      <c r="H60" s="180"/>
    </row>
    <row r="61" spans="1:8" x14ac:dyDescent="0.2">
      <c r="A61" s="266"/>
      <c r="B61" s="268"/>
      <c r="C61" s="176"/>
      <c r="D61" s="176"/>
      <c r="E61" s="177"/>
      <c r="F61" s="178"/>
      <c r="G61" s="179"/>
      <c r="H61" s="180"/>
    </row>
    <row r="62" spans="1:8" x14ac:dyDescent="0.2">
      <c r="A62" s="266"/>
      <c r="B62" s="268"/>
      <c r="C62" s="176"/>
      <c r="D62" s="176"/>
      <c r="E62" s="177"/>
      <c r="F62" s="178"/>
      <c r="G62" s="179"/>
      <c r="H62" s="180"/>
    </row>
    <row r="63" spans="1:8" x14ac:dyDescent="0.2">
      <c r="A63" s="266"/>
      <c r="B63" s="268"/>
      <c r="C63" s="176"/>
      <c r="D63" s="176"/>
      <c r="E63" s="177"/>
      <c r="F63" s="178"/>
      <c r="G63" s="179"/>
      <c r="H63" s="180"/>
    </row>
    <row r="64" spans="1:8" x14ac:dyDescent="0.2">
      <c r="A64" s="266"/>
      <c r="B64" s="268"/>
      <c r="C64" s="176"/>
      <c r="D64" s="176"/>
      <c r="E64" s="177"/>
      <c r="F64" s="178"/>
      <c r="G64" s="179"/>
      <c r="H64" s="180"/>
    </row>
    <row r="65" spans="1:8" x14ac:dyDescent="0.2">
      <c r="A65" s="266"/>
      <c r="B65" s="268"/>
      <c r="C65" s="176"/>
      <c r="D65" s="176"/>
      <c r="E65" s="177"/>
      <c r="F65" s="178"/>
      <c r="G65" s="179"/>
      <c r="H65" s="180"/>
    </row>
    <row r="66" spans="1:8" x14ac:dyDescent="0.2">
      <c r="A66" s="266"/>
      <c r="B66" s="268"/>
      <c r="C66" s="176"/>
      <c r="D66" s="176"/>
      <c r="E66" s="177"/>
      <c r="F66" s="178"/>
      <c r="G66" s="179"/>
      <c r="H66" s="180"/>
    </row>
    <row r="67" spans="1:8" x14ac:dyDescent="0.2">
      <c r="A67" s="266"/>
      <c r="B67" s="268"/>
      <c r="C67" s="176"/>
      <c r="D67" s="176"/>
      <c r="E67" s="177"/>
      <c r="F67" s="178"/>
      <c r="G67" s="179"/>
      <c r="H67" s="180"/>
    </row>
    <row r="68" spans="1:8" x14ac:dyDescent="0.2">
      <c r="A68" s="266"/>
      <c r="B68" s="268"/>
      <c r="C68" s="176"/>
      <c r="D68" s="176"/>
      <c r="E68" s="177"/>
      <c r="F68" s="178"/>
      <c r="G68" s="179"/>
      <c r="H68" s="180"/>
    </row>
    <row r="69" spans="1:8" x14ac:dyDescent="0.2">
      <c r="A69" s="266"/>
      <c r="B69" s="268"/>
      <c r="C69" s="176"/>
      <c r="D69" s="176"/>
      <c r="E69" s="177"/>
      <c r="F69" s="178"/>
      <c r="G69" s="179"/>
      <c r="H69" s="180"/>
    </row>
    <row r="70" spans="1:8" x14ac:dyDescent="0.2">
      <c r="A70" s="266"/>
      <c r="B70" s="268"/>
      <c r="C70" s="176"/>
      <c r="D70" s="176"/>
      <c r="E70" s="177"/>
      <c r="F70" s="178"/>
      <c r="G70" s="179"/>
      <c r="H70" s="180"/>
    </row>
    <row r="71" spans="1:8" x14ac:dyDescent="0.2">
      <c r="A71" s="266"/>
      <c r="B71" s="268"/>
      <c r="C71" s="176"/>
      <c r="D71" s="176"/>
      <c r="E71" s="177"/>
      <c r="F71" s="178"/>
      <c r="G71" s="179"/>
      <c r="H71" s="180"/>
    </row>
    <row r="72" spans="1:8" x14ac:dyDescent="0.2">
      <c r="A72" s="266"/>
      <c r="B72" s="268"/>
      <c r="C72" s="176"/>
      <c r="D72" s="176"/>
      <c r="E72" s="177"/>
      <c r="F72" s="178"/>
      <c r="G72" s="179"/>
      <c r="H72" s="180"/>
    </row>
    <row r="73" spans="1:8" x14ac:dyDescent="0.2">
      <c r="A73" s="266"/>
      <c r="B73" s="268"/>
      <c r="C73" s="176"/>
      <c r="D73" s="176"/>
      <c r="E73" s="177"/>
      <c r="F73" s="178"/>
      <c r="G73" s="179"/>
      <c r="H73" s="180"/>
    </row>
    <row r="74" spans="1:8" x14ac:dyDescent="0.2">
      <c r="A74" s="266"/>
      <c r="B74" s="268"/>
      <c r="C74" s="176"/>
      <c r="D74" s="176"/>
      <c r="E74" s="177"/>
      <c r="F74" s="178"/>
      <c r="G74" s="179"/>
      <c r="H74" s="180"/>
    </row>
    <row r="75" spans="1:8" x14ac:dyDescent="0.2">
      <c r="A75" s="266"/>
      <c r="B75" s="268"/>
      <c r="C75" s="176"/>
      <c r="D75" s="176"/>
      <c r="E75" s="177"/>
      <c r="F75" s="178"/>
      <c r="G75" s="179"/>
      <c r="H75" s="180"/>
    </row>
    <row r="76" spans="1:8" x14ac:dyDescent="0.2">
      <c r="A76" s="266"/>
      <c r="B76" s="268"/>
      <c r="C76" s="176"/>
      <c r="D76" s="176"/>
      <c r="E76" s="177"/>
      <c r="F76" s="178"/>
      <c r="G76" s="179"/>
      <c r="H76" s="180"/>
    </row>
    <row r="77" spans="1:8" x14ac:dyDescent="0.2">
      <c r="A77" s="266"/>
      <c r="B77" s="268"/>
      <c r="C77" s="176"/>
      <c r="D77" s="176"/>
      <c r="E77" s="177"/>
      <c r="F77" s="178"/>
      <c r="G77" s="179"/>
      <c r="H77" s="180"/>
    </row>
    <row r="78" spans="1:8" x14ac:dyDescent="0.2">
      <c r="A78" s="266"/>
      <c r="B78" s="268"/>
      <c r="C78" s="176"/>
      <c r="D78" s="176"/>
      <c r="E78" s="177"/>
      <c r="F78" s="178"/>
      <c r="G78" s="179"/>
      <c r="H78" s="180"/>
    </row>
    <row r="79" spans="1:8" x14ac:dyDescent="0.2">
      <c r="A79" s="266"/>
      <c r="B79" s="268"/>
      <c r="C79" s="176"/>
      <c r="D79" s="176"/>
      <c r="E79" s="177"/>
      <c r="F79" s="178"/>
      <c r="G79" s="179"/>
      <c r="H79" s="180"/>
    </row>
    <row r="80" spans="1:8" x14ac:dyDescent="0.2">
      <c r="A80" s="266"/>
      <c r="B80" s="268"/>
      <c r="C80" s="176"/>
      <c r="D80" s="176"/>
      <c r="E80" s="177"/>
      <c r="F80" s="178"/>
      <c r="G80" s="179"/>
      <c r="H80" s="180"/>
    </row>
    <row r="81" spans="1:8" x14ac:dyDescent="0.2">
      <c r="A81" s="266"/>
      <c r="B81" s="268"/>
      <c r="C81" s="176"/>
      <c r="D81" s="176"/>
      <c r="E81" s="177"/>
      <c r="F81" s="178"/>
      <c r="G81" s="179"/>
      <c r="H81" s="180"/>
    </row>
    <row r="82" spans="1:8" x14ac:dyDescent="0.2">
      <c r="A82" s="266"/>
      <c r="B82" s="268"/>
      <c r="C82" s="176"/>
      <c r="D82" s="176"/>
      <c r="E82" s="177"/>
      <c r="F82" s="178"/>
      <c r="G82" s="179"/>
      <c r="H82" s="180"/>
    </row>
    <row r="83" spans="1:8" x14ac:dyDescent="0.2">
      <c r="A83" s="266"/>
      <c r="B83" s="268"/>
      <c r="C83" s="176"/>
      <c r="D83" s="176"/>
      <c r="E83" s="177"/>
      <c r="F83" s="178"/>
      <c r="G83" s="179"/>
      <c r="H83" s="180"/>
    </row>
    <row r="84" spans="1:8" x14ac:dyDescent="0.2">
      <c r="A84" s="266"/>
      <c r="B84" s="268"/>
      <c r="C84" s="176"/>
      <c r="D84" s="176"/>
      <c r="E84" s="177"/>
      <c r="F84" s="178"/>
      <c r="G84" s="179"/>
      <c r="H84" s="180"/>
    </row>
    <row r="85" spans="1:8" x14ac:dyDescent="0.2">
      <c r="A85" s="266"/>
      <c r="B85" s="268"/>
      <c r="C85" s="176"/>
      <c r="D85" s="176"/>
      <c r="E85" s="177"/>
      <c r="F85" s="178"/>
      <c r="G85" s="179"/>
      <c r="H85" s="180"/>
    </row>
    <row r="86" spans="1:8" x14ac:dyDescent="0.2">
      <c r="A86" s="266"/>
      <c r="B86" s="268"/>
      <c r="C86" s="176"/>
      <c r="D86" s="176"/>
      <c r="E86" s="177"/>
      <c r="F86" s="178"/>
      <c r="G86" s="179"/>
      <c r="H86" s="180"/>
    </row>
    <row r="87" spans="1:8" x14ac:dyDescent="0.2">
      <c r="A87" s="266"/>
      <c r="B87" s="268"/>
      <c r="C87" s="176"/>
      <c r="D87" s="176"/>
      <c r="E87" s="177"/>
      <c r="F87" s="178"/>
      <c r="G87" s="179"/>
      <c r="H87" s="180"/>
    </row>
    <row r="88" spans="1:8" x14ac:dyDescent="0.2">
      <c r="A88" s="266"/>
      <c r="B88" s="268"/>
      <c r="C88" s="176"/>
      <c r="D88" s="176"/>
      <c r="E88" s="177"/>
      <c r="F88" s="178"/>
      <c r="G88" s="179"/>
      <c r="H88" s="180"/>
    </row>
    <row r="89" spans="1:8" x14ac:dyDescent="0.2">
      <c r="A89" s="266"/>
      <c r="B89" s="268"/>
      <c r="C89" s="176"/>
      <c r="D89" s="176"/>
      <c r="E89" s="177"/>
      <c r="F89" s="178"/>
      <c r="G89" s="179"/>
      <c r="H89" s="180"/>
    </row>
    <row r="90" spans="1:8" x14ac:dyDescent="0.2">
      <c r="A90" s="266"/>
      <c r="B90" s="268"/>
      <c r="C90" s="176"/>
      <c r="D90" s="176"/>
      <c r="E90" s="177"/>
      <c r="F90" s="178"/>
      <c r="G90" s="179"/>
      <c r="H90" s="180"/>
    </row>
    <row r="91" spans="1:8" x14ac:dyDescent="0.2">
      <c r="A91" s="266"/>
      <c r="B91" s="268"/>
      <c r="C91" s="176"/>
      <c r="D91" s="176"/>
      <c r="E91" s="177"/>
      <c r="F91" s="178"/>
      <c r="G91" s="179"/>
      <c r="H91" s="180"/>
    </row>
    <row r="92" spans="1:8" x14ac:dyDescent="0.2">
      <c r="A92" s="266"/>
      <c r="B92" s="268"/>
      <c r="C92" s="176"/>
      <c r="D92" s="176"/>
      <c r="E92" s="177"/>
      <c r="F92" s="178"/>
      <c r="G92" s="179"/>
      <c r="H92" s="180"/>
    </row>
    <row r="93" spans="1:8" x14ac:dyDescent="0.2">
      <c r="A93" s="266"/>
      <c r="B93" s="268"/>
      <c r="C93" s="176"/>
      <c r="D93" s="176"/>
      <c r="E93" s="177"/>
      <c r="F93" s="178"/>
      <c r="G93" s="179"/>
      <c r="H93" s="180"/>
    </row>
    <row r="94" spans="1:8" x14ac:dyDescent="0.2">
      <c r="A94" s="266"/>
      <c r="B94" s="268"/>
      <c r="C94" s="176"/>
      <c r="D94" s="176"/>
      <c r="E94" s="177"/>
      <c r="F94" s="178"/>
      <c r="G94" s="179"/>
      <c r="H94" s="180"/>
    </row>
    <row r="95" spans="1:8" x14ac:dyDescent="0.2">
      <c r="A95" s="266"/>
      <c r="B95" s="268"/>
      <c r="C95" s="176"/>
      <c r="D95" s="176"/>
      <c r="E95" s="177"/>
      <c r="F95" s="178"/>
      <c r="G95" s="179"/>
      <c r="H95" s="180"/>
    </row>
    <row r="96" spans="1:8" x14ac:dyDescent="0.2">
      <c r="A96" s="266"/>
      <c r="B96" s="268"/>
      <c r="C96" s="176"/>
      <c r="D96" s="176"/>
      <c r="E96" s="177"/>
      <c r="F96" s="178"/>
      <c r="G96" s="179"/>
      <c r="H96" s="180"/>
    </row>
    <row r="97" spans="1:8" x14ac:dyDescent="0.2">
      <c r="A97" s="266"/>
      <c r="B97" s="268"/>
      <c r="C97" s="176"/>
      <c r="D97" s="176"/>
      <c r="E97" s="177"/>
      <c r="F97" s="178"/>
      <c r="G97" s="179"/>
      <c r="H97" s="180"/>
    </row>
    <row r="98" spans="1:8" x14ac:dyDescent="0.2">
      <c r="A98" s="266"/>
      <c r="B98" s="268"/>
      <c r="C98" s="176"/>
      <c r="D98" s="176"/>
      <c r="E98" s="177"/>
      <c r="F98" s="178"/>
      <c r="G98" s="179"/>
      <c r="H98" s="180"/>
    </row>
    <row r="99" spans="1:8" x14ac:dyDescent="0.2">
      <c r="A99" s="266"/>
      <c r="B99" s="268"/>
      <c r="C99" s="176"/>
      <c r="D99" s="176"/>
      <c r="E99" s="177"/>
      <c r="F99" s="178"/>
      <c r="G99" s="179"/>
      <c r="H99" s="180"/>
    </row>
    <row r="100" spans="1:8" x14ac:dyDescent="0.2">
      <c r="A100" s="266"/>
      <c r="B100" s="268"/>
      <c r="C100" s="176"/>
      <c r="D100" s="176"/>
      <c r="E100" s="177"/>
      <c r="F100" s="178"/>
      <c r="G100" s="179"/>
      <c r="H100" s="180"/>
    </row>
    <row r="101" spans="1:8" x14ac:dyDescent="0.2">
      <c r="A101" s="266"/>
      <c r="B101" s="268"/>
      <c r="C101" s="176"/>
      <c r="D101" s="176"/>
      <c r="E101" s="177"/>
      <c r="F101" s="178"/>
      <c r="G101" s="179"/>
      <c r="H101" s="180"/>
    </row>
    <row r="102" spans="1:8" x14ac:dyDescent="0.2">
      <c r="A102" s="266"/>
      <c r="B102" s="268"/>
      <c r="C102" s="176"/>
      <c r="D102" s="176"/>
      <c r="E102" s="177"/>
      <c r="F102" s="178"/>
      <c r="G102" s="179"/>
      <c r="H102" s="180"/>
    </row>
    <row r="103" spans="1:8" x14ac:dyDescent="0.2">
      <c r="A103" s="266"/>
      <c r="B103" s="268"/>
      <c r="C103" s="176"/>
      <c r="D103" s="176"/>
      <c r="E103" s="177"/>
      <c r="F103" s="178"/>
      <c r="G103" s="179"/>
      <c r="H103" s="180"/>
    </row>
    <row r="104" spans="1:8" x14ac:dyDescent="0.2">
      <c r="A104" s="266"/>
      <c r="B104" s="268"/>
      <c r="C104" s="176"/>
      <c r="D104" s="176"/>
      <c r="E104" s="177"/>
      <c r="F104" s="178"/>
      <c r="G104" s="179"/>
      <c r="H104" s="180"/>
    </row>
    <row r="105" spans="1:8" x14ac:dyDescent="0.2">
      <c r="A105" s="266"/>
      <c r="B105" s="268"/>
      <c r="C105" s="176"/>
      <c r="D105" s="176"/>
      <c r="E105" s="177"/>
      <c r="F105" s="178"/>
      <c r="G105" s="179"/>
      <c r="H105" s="180"/>
    </row>
    <row r="106" spans="1:8" x14ac:dyDescent="0.2">
      <c r="A106" s="266"/>
      <c r="B106" s="268"/>
      <c r="C106" s="176"/>
      <c r="D106" s="176"/>
      <c r="E106" s="177"/>
      <c r="F106" s="178"/>
      <c r="G106" s="179"/>
      <c r="H106" s="180"/>
    </row>
    <row r="107" spans="1:8" x14ac:dyDescent="0.2">
      <c r="A107" s="266"/>
      <c r="B107" s="268"/>
      <c r="C107" s="176"/>
      <c r="D107" s="176"/>
      <c r="E107" s="177"/>
      <c r="F107" s="178"/>
      <c r="G107" s="179"/>
      <c r="H107" s="180"/>
    </row>
    <row r="108" spans="1:8" x14ac:dyDescent="0.2">
      <c r="A108" s="266"/>
      <c r="B108" s="268"/>
      <c r="C108" s="176"/>
      <c r="D108" s="176"/>
      <c r="E108" s="177"/>
      <c r="F108" s="178"/>
      <c r="G108" s="179"/>
      <c r="H108" s="180"/>
    </row>
    <row r="109" spans="1:8" x14ac:dyDescent="0.2">
      <c r="A109" s="266"/>
      <c r="B109" s="268"/>
      <c r="C109" s="176"/>
      <c r="D109" s="176"/>
      <c r="E109" s="177"/>
      <c r="F109" s="178"/>
      <c r="G109" s="179"/>
      <c r="H109" s="180"/>
    </row>
    <row r="110" spans="1:8" x14ac:dyDescent="0.2">
      <c r="A110" s="266"/>
      <c r="B110" s="268"/>
      <c r="C110" s="176"/>
      <c r="D110" s="176"/>
      <c r="E110" s="177"/>
      <c r="F110" s="178"/>
      <c r="G110" s="179"/>
      <c r="H110" s="180"/>
    </row>
    <row r="111" spans="1:8" x14ac:dyDescent="0.2">
      <c r="A111" s="266"/>
      <c r="B111" s="268"/>
      <c r="C111" s="176"/>
      <c r="D111" s="176"/>
      <c r="E111" s="177"/>
      <c r="F111" s="178"/>
      <c r="G111" s="179"/>
      <c r="H111" s="180"/>
    </row>
    <row r="112" spans="1:8" x14ac:dyDescent="0.2">
      <c r="A112" s="266"/>
      <c r="B112" s="268"/>
      <c r="C112" s="176"/>
      <c r="D112" s="176"/>
      <c r="E112" s="177"/>
      <c r="F112" s="178"/>
      <c r="G112" s="179"/>
      <c r="H112" s="180"/>
    </row>
    <row r="113" spans="1:8" x14ac:dyDescent="0.2">
      <c r="A113" s="266"/>
      <c r="B113" s="268"/>
      <c r="C113" s="176"/>
      <c r="D113" s="176"/>
      <c r="E113" s="177"/>
      <c r="F113" s="178"/>
      <c r="G113" s="179"/>
      <c r="H113" s="180"/>
    </row>
    <row r="114" spans="1:8" x14ac:dyDescent="0.2">
      <c r="A114" s="266"/>
      <c r="B114" s="268"/>
      <c r="C114" s="176"/>
      <c r="D114" s="176"/>
      <c r="E114" s="177"/>
      <c r="F114" s="178"/>
      <c r="G114" s="179"/>
      <c r="H114" s="180"/>
    </row>
    <row r="115" spans="1:8" x14ac:dyDescent="0.2">
      <c r="A115" s="266"/>
      <c r="B115" s="268"/>
      <c r="C115" s="176"/>
      <c r="D115" s="176"/>
      <c r="E115" s="177"/>
      <c r="F115" s="178"/>
      <c r="G115" s="179"/>
      <c r="H115" s="180"/>
    </row>
    <row r="116" spans="1:8" x14ac:dyDescent="0.2">
      <c r="A116" s="266"/>
      <c r="B116" s="268"/>
      <c r="C116" s="176"/>
      <c r="D116" s="176"/>
      <c r="E116" s="177"/>
      <c r="F116" s="178"/>
      <c r="G116" s="179"/>
      <c r="H116" s="180"/>
    </row>
    <row r="117" spans="1:8" x14ac:dyDescent="0.2">
      <c r="A117" s="266"/>
      <c r="B117" s="268"/>
      <c r="C117" s="176"/>
      <c r="D117" s="176"/>
      <c r="E117" s="177"/>
      <c r="F117" s="178"/>
      <c r="G117" s="179"/>
      <c r="H117" s="180"/>
    </row>
    <row r="118" spans="1:8" x14ac:dyDescent="0.2">
      <c r="A118" s="266"/>
      <c r="B118" s="268"/>
      <c r="C118" s="176"/>
      <c r="D118" s="176"/>
      <c r="E118" s="177"/>
      <c r="F118" s="178"/>
      <c r="G118" s="179"/>
      <c r="H118" s="180"/>
    </row>
    <row r="119" spans="1:8" x14ac:dyDescent="0.2">
      <c r="A119" s="266"/>
      <c r="B119" s="268"/>
      <c r="C119" s="176"/>
      <c r="D119" s="176"/>
      <c r="E119" s="177"/>
      <c r="F119" s="178"/>
      <c r="G119" s="179"/>
      <c r="H119" s="180"/>
    </row>
    <row r="120" spans="1:8" x14ac:dyDescent="0.2">
      <c r="A120" s="266"/>
      <c r="B120" s="268"/>
      <c r="C120" s="176"/>
      <c r="D120" s="176"/>
      <c r="E120" s="177"/>
      <c r="F120" s="178"/>
      <c r="G120" s="179"/>
      <c r="H120" s="180"/>
    </row>
    <row r="121" spans="1:8" x14ac:dyDescent="0.2">
      <c r="A121" s="266"/>
      <c r="B121" s="268"/>
      <c r="C121" s="176"/>
      <c r="D121" s="176"/>
      <c r="E121" s="177"/>
      <c r="F121" s="178"/>
      <c r="G121" s="179"/>
      <c r="H121" s="180"/>
    </row>
    <row r="122" spans="1:8" x14ac:dyDescent="0.2">
      <c r="C122" s="109"/>
      <c r="D122" s="109"/>
    </row>
    <row r="123" spans="1:8" x14ac:dyDescent="0.2">
      <c r="C123" s="109"/>
      <c r="D123" s="109"/>
    </row>
    <row r="124" spans="1:8" x14ac:dyDescent="0.2">
      <c r="C124" s="109"/>
      <c r="D124" s="109"/>
    </row>
    <row r="125" spans="1:8" x14ac:dyDescent="0.2">
      <c r="C125" s="109"/>
      <c r="D125" s="109"/>
    </row>
    <row r="126" spans="1:8" x14ac:dyDescent="0.2">
      <c r="C126" s="109"/>
      <c r="D126" s="109"/>
    </row>
    <row r="127" spans="1:8" x14ac:dyDescent="0.2">
      <c r="C127" s="109"/>
      <c r="D127" s="109"/>
    </row>
    <row r="128" spans="1:8" x14ac:dyDescent="0.2">
      <c r="C128" s="109"/>
      <c r="D128" s="109"/>
    </row>
    <row r="129" spans="3:4" x14ac:dyDescent="0.2">
      <c r="C129" s="109"/>
      <c r="D129" s="109"/>
    </row>
    <row r="130" spans="3:4" x14ac:dyDescent="0.2">
      <c r="C130" s="109"/>
      <c r="D130" s="109"/>
    </row>
    <row r="131" spans="3:4" x14ac:dyDescent="0.2">
      <c r="C131" s="109"/>
      <c r="D131" s="109"/>
    </row>
    <row r="132" spans="3:4" x14ac:dyDescent="0.2">
      <c r="C132" s="109"/>
      <c r="D132" s="109"/>
    </row>
    <row r="133" spans="3:4" x14ac:dyDescent="0.2">
      <c r="C133" s="109"/>
      <c r="D133" s="109"/>
    </row>
    <row r="134" spans="3:4" x14ac:dyDescent="0.2">
      <c r="C134" s="109"/>
      <c r="D134" s="109"/>
    </row>
    <row r="135" spans="3:4" x14ac:dyDescent="0.2">
      <c r="C135" s="109"/>
      <c r="D135" s="109"/>
    </row>
    <row r="136" spans="3:4" x14ac:dyDescent="0.2">
      <c r="C136" s="109"/>
      <c r="D136" s="109"/>
    </row>
    <row r="137" spans="3:4" x14ac:dyDescent="0.2">
      <c r="C137" s="109"/>
      <c r="D137" s="109"/>
    </row>
    <row r="138" spans="3:4" x14ac:dyDescent="0.2">
      <c r="C138" s="109"/>
      <c r="D138" s="109"/>
    </row>
    <row r="139" spans="3:4" x14ac:dyDescent="0.2">
      <c r="C139" s="109"/>
      <c r="D139" s="109"/>
    </row>
    <row r="140" spans="3:4" x14ac:dyDescent="0.2">
      <c r="C140" s="109"/>
      <c r="D140" s="109"/>
    </row>
    <row r="141" spans="3:4" x14ac:dyDescent="0.2">
      <c r="C141" s="109"/>
      <c r="D141" s="109"/>
    </row>
    <row r="142" spans="3:4" x14ac:dyDescent="0.2">
      <c r="C142" s="109"/>
      <c r="D142" s="109"/>
    </row>
    <row r="143" spans="3:4" x14ac:dyDescent="0.2">
      <c r="C143" s="109"/>
      <c r="D143" s="109"/>
    </row>
    <row r="144" spans="3:4" x14ac:dyDescent="0.2">
      <c r="C144" s="109"/>
      <c r="D144" s="109"/>
    </row>
    <row r="145" spans="3:4" x14ac:dyDescent="0.2">
      <c r="C145" s="109"/>
      <c r="D145" s="109"/>
    </row>
    <row r="146" spans="3:4" x14ac:dyDescent="0.2">
      <c r="C146" s="109"/>
      <c r="D146" s="109"/>
    </row>
    <row r="147" spans="3:4" x14ac:dyDescent="0.2">
      <c r="C147" s="109"/>
      <c r="D147" s="109"/>
    </row>
    <row r="148" spans="3:4" x14ac:dyDescent="0.2">
      <c r="C148" s="109"/>
      <c r="D148" s="109"/>
    </row>
    <row r="149" spans="3:4" x14ac:dyDescent="0.2">
      <c r="C149" s="109"/>
      <c r="D149" s="109"/>
    </row>
    <row r="150" spans="3:4" x14ac:dyDescent="0.2">
      <c r="C150" s="109"/>
      <c r="D150" s="109"/>
    </row>
    <row r="151" spans="3:4" x14ac:dyDescent="0.2">
      <c r="C151" s="109"/>
      <c r="D151" s="109"/>
    </row>
    <row r="152" spans="3:4" x14ac:dyDescent="0.2">
      <c r="C152" s="109"/>
      <c r="D152" s="109"/>
    </row>
    <row r="153" spans="3:4" x14ac:dyDescent="0.2">
      <c r="C153" s="109"/>
      <c r="D153" s="109"/>
    </row>
    <row r="154" spans="3:4" x14ac:dyDescent="0.2">
      <c r="C154" s="109"/>
      <c r="D154" s="109"/>
    </row>
    <row r="155" spans="3:4" x14ac:dyDescent="0.2">
      <c r="C155" s="109"/>
      <c r="D155" s="109"/>
    </row>
    <row r="156" spans="3:4" x14ac:dyDescent="0.2">
      <c r="C156" s="109"/>
      <c r="D156" s="109"/>
    </row>
    <row r="157" spans="3:4" x14ac:dyDescent="0.2">
      <c r="C157" s="109"/>
      <c r="D157" s="109"/>
    </row>
    <row r="158" spans="3:4" x14ac:dyDescent="0.2">
      <c r="C158" s="109"/>
      <c r="D158" s="109"/>
    </row>
    <row r="159" spans="3:4" x14ac:dyDescent="0.2">
      <c r="C159" s="109"/>
      <c r="D159" s="109"/>
    </row>
    <row r="160" spans="3:4" x14ac:dyDescent="0.2">
      <c r="C160" s="109"/>
      <c r="D160" s="109"/>
    </row>
    <row r="161" spans="3:4" x14ac:dyDescent="0.2">
      <c r="C161" s="109"/>
      <c r="D161" s="109"/>
    </row>
    <row r="162" spans="3:4" x14ac:dyDescent="0.2">
      <c r="C162" s="109"/>
      <c r="D162" s="109"/>
    </row>
    <row r="163" spans="3:4" x14ac:dyDescent="0.2">
      <c r="C163" s="109"/>
      <c r="D163" s="109"/>
    </row>
    <row r="164" spans="3:4" x14ac:dyDescent="0.2">
      <c r="C164" s="109"/>
    </row>
  </sheetData>
  <sheetProtection sheet="1" objects="1" scenarios="1" selectLockedCells="1"/>
  <sortState xmlns:xlrd2="http://schemas.microsoft.com/office/spreadsheetml/2017/richdata2" ref="Q2:Q10">
    <sortCondition ref="Q2:Q10"/>
  </sortState>
  <mergeCells count="3">
    <mergeCell ref="A1:A2"/>
    <mergeCell ref="B1:F1"/>
    <mergeCell ref="G1:M1"/>
  </mergeCells>
  <phoneticPr fontId="26" type="noConversion"/>
  <conditionalFormatting sqref="A3:A9">
    <cfRule type="cellIs" dxfId="9" priority="1" operator="equal">
      <formula>0</formula>
    </cfRule>
  </conditionalFormatting>
  <dataValidations count="1">
    <dataValidation type="list" allowBlank="1" showInputMessage="1" showErrorMessage="1" sqref="G122:G162" xr:uid="{BD18564A-B656-477D-B14D-5B97ABB35E43}">
      <formula1>$Q$2:$Q$11</formula1>
    </dataValidation>
  </dataValidations>
  <pageMargins left="0.7" right="0.7" top="0.75" bottom="0.75" header="0.3" footer="0.3"/>
  <pageSetup orientation="portrait" horizontalDpi="4294967294" verticalDpi="597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FEBC483-0659-4D34-9C45-59B0C133E23B}">
          <x14:formula1>
            <xm:f>'Data Source'!$F$6:$F$12</xm:f>
          </x14:formula1>
          <xm:sqref>G13:G121</xm:sqref>
        </x14:dataValidation>
        <x14:dataValidation type="list" allowBlank="1" showInputMessage="1" showErrorMessage="1" xr:uid="{050F802B-B801-4859-971A-98342D0011E8}">
          <x14:formula1>
            <xm:f>'Data Source'!$A$6:$A$9</xm:f>
          </x14:formula1>
          <xm:sqref>D13:D163</xm:sqref>
        </x14:dataValidation>
        <x14:dataValidation type="list" allowBlank="1" showInputMessage="1" showErrorMessage="1" xr:uid="{45CCCCEA-93CF-42B3-897F-762A56F4C054}">
          <x14:formula1>
            <xm:f>'Data Source'!$B$6:$B$9</xm:f>
          </x14:formula1>
          <xm:sqref>C13:C164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D72A8-0FB3-4E8B-A5B8-508FF1D9D148}">
  <sheetPr codeName="Sheet7"/>
  <dimension ref="A1:M141"/>
  <sheetViews>
    <sheetView zoomScale="90" zoomScaleNormal="90" workbookViewId="0">
      <selection activeCell="A13" sqref="A13"/>
    </sheetView>
  </sheetViews>
  <sheetFormatPr baseColWidth="10" defaultColWidth="8.6640625" defaultRowHeight="15" x14ac:dyDescent="0.2"/>
  <cols>
    <col min="1" max="1" width="12" style="117" bestFit="1" customWidth="1"/>
    <col min="2" max="2" width="14.6640625" style="117" bestFit="1" customWidth="1"/>
    <col min="3" max="3" width="14.5" style="117" bestFit="1" customWidth="1"/>
    <col min="4" max="4" width="20.83203125" style="117" customWidth="1"/>
    <col min="5" max="5" width="20.1640625" style="117" customWidth="1"/>
    <col min="6" max="6" width="22.33203125" style="117" bestFit="1" customWidth="1"/>
    <col min="7" max="7" width="19.6640625" style="117" bestFit="1" customWidth="1"/>
    <col min="8" max="8" width="22.1640625" style="117" bestFit="1" customWidth="1"/>
    <col min="9" max="9" width="9.1640625" style="117" bestFit="1" customWidth="1"/>
    <col min="10" max="10" width="50" style="117" customWidth="1"/>
    <col min="11" max="16384" width="8.6640625" style="117"/>
  </cols>
  <sheetData>
    <row r="1" spans="1:13" customFormat="1" ht="20.5" customHeight="1" thickBot="1" x14ac:dyDescent="0.25">
      <c r="A1" s="356" t="s">
        <v>30</v>
      </c>
      <c r="B1" s="358" t="s">
        <v>217</v>
      </c>
      <c r="C1" s="359"/>
      <c r="D1" s="359"/>
      <c r="E1" s="359"/>
      <c r="F1" s="359"/>
      <c r="G1" s="359"/>
      <c r="H1" s="360"/>
    </row>
    <row r="2" spans="1:13" customFormat="1" ht="16" thickBot="1" x14ac:dyDescent="0.25">
      <c r="A2" s="357"/>
      <c r="B2" s="30" t="str">
        <f>'Data Source'!A6</f>
        <v>Annuity</v>
      </c>
      <c r="C2" s="210" t="str">
        <f>'Data Source'!A7</f>
        <v>AUM</v>
      </c>
      <c r="D2" s="210" t="str">
        <f>'Data Source'!A8</f>
        <v>Life</v>
      </c>
      <c r="E2" s="210" t="str">
        <f>'Data Source'!A9</f>
        <v>Med Supp</v>
      </c>
      <c r="F2" s="211" t="s">
        <v>25</v>
      </c>
      <c r="G2" s="212" t="s">
        <v>115</v>
      </c>
      <c r="H2" s="213" t="s">
        <v>114</v>
      </c>
    </row>
    <row r="3" spans="1:13" customFormat="1" x14ac:dyDescent="0.2">
      <c r="A3" s="3" t="str">
        <f>'Data Source'!B6</f>
        <v>Chris</v>
      </c>
      <c r="B3" s="214">
        <f t="shared" ref="B3:B9" si="0">((SUMIFS($G$13:$G$140,$A$13:$A$140,A3,$F$13:$F$140,$B$2))+(SUMIFS($H$13:$H$140,$A$13:$A$140,A3,$F$13:$F$140,$B$2)))</f>
        <v>275800</v>
      </c>
      <c r="C3" s="215">
        <f t="shared" ref="C3:C9" si="1">((SUMIFS($G$13:$G$140,$A$13:$A$140,A3,$F$13:$F$140,$C$2))+(SUMIFS($H$13:$H$140,$A$13:$A$140,A3,$F$13:$F$140,$C$2)))</f>
        <v>60000</v>
      </c>
      <c r="D3" s="215">
        <f t="shared" ref="D3:D9" si="2">((SUMIFS($G$13:$G$140,$A$13:$A$140,A3,$F$13:$F$140,$D$2))+(SUMIFS($H$13:$H$140,$A$13:$A$140,A3,$F$13:$F$140,$D$2)))</f>
        <v>26000</v>
      </c>
      <c r="E3" s="215">
        <f t="shared" ref="E3:E9" si="3">((SUMIFS($G$13:$G$140,$A$13:$A$140,A3,$F$13:$F$140,$E$2))+(SUMIFS($H$13:$H$140,$A$13:$A$140,A3,$F$13:$F$140,$E$2)))</f>
        <v>0</v>
      </c>
      <c r="F3" s="10">
        <f t="shared" ref="F3:F9" si="4">SUM(B3:E3)</f>
        <v>361800</v>
      </c>
      <c r="G3" s="190">
        <f>SUMIF('Internal Transfer'!$A$13:$A$140,A3,'Internal Transfer'!$H$13:$H$140)</f>
        <v>161200</v>
      </c>
      <c r="H3" s="216">
        <f>SUMIF('Internal Transfer'!$A$13:$A$140,A3,'Internal Transfer'!$G$13:$G$140)</f>
        <v>200600</v>
      </c>
    </row>
    <row r="4" spans="1:13" customFormat="1" x14ac:dyDescent="0.2">
      <c r="A4" s="3" t="str">
        <f>'Data Source'!B7</f>
        <v>John</v>
      </c>
      <c r="B4" s="217">
        <f t="shared" si="0"/>
        <v>190400</v>
      </c>
      <c r="C4" s="218">
        <f t="shared" si="1"/>
        <v>90000</v>
      </c>
      <c r="D4" s="218">
        <f t="shared" si="2"/>
        <v>13000</v>
      </c>
      <c r="E4" s="218">
        <f t="shared" si="3"/>
        <v>150</v>
      </c>
      <c r="F4" s="10">
        <f t="shared" si="4"/>
        <v>293550</v>
      </c>
      <c r="G4" s="190">
        <f>SUMIF('Internal Transfer'!$A$13:$A$140,A4,'Internal Transfer'!$H$13:$H$140)</f>
        <v>158150</v>
      </c>
      <c r="H4" s="216">
        <f>SUMIF('Internal Transfer'!$A$13:$A$140,A4,'Internal Transfer'!$G$13:$G$140)</f>
        <v>135400</v>
      </c>
    </row>
    <row r="5" spans="1:13" customFormat="1" x14ac:dyDescent="0.2">
      <c r="A5" s="3" t="str">
        <f>'Data Source'!B8</f>
        <v>Mark</v>
      </c>
      <c r="B5" s="217">
        <f t="shared" si="0"/>
        <v>150300</v>
      </c>
      <c r="C5" s="218">
        <f t="shared" si="1"/>
        <v>125000</v>
      </c>
      <c r="D5" s="218">
        <f t="shared" si="2"/>
        <v>23000</v>
      </c>
      <c r="E5" s="218">
        <f t="shared" si="3"/>
        <v>500</v>
      </c>
      <c r="F5" s="10">
        <f t="shared" si="4"/>
        <v>298800</v>
      </c>
      <c r="G5" s="190">
        <f>SUMIF('Internal Transfer'!$A$13:$A$140,A5,'Internal Transfer'!$H$13:$H$140)</f>
        <v>133300</v>
      </c>
      <c r="H5" s="216">
        <f>SUMIF('Internal Transfer'!$A$13:$A$140,A5,'Internal Transfer'!$G$13:$G$140)</f>
        <v>165500</v>
      </c>
    </row>
    <row r="6" spans="1:13" customFormat="1" x14ac:dyDescent="0.2">
      <c r="A6" s="3" t="str">
        <f>'Data Source'!B9</f>
        <v>Mike</v>
      </c>
      <c r="B6" s="217">
        <f t="shared" si="0"/>
        <v>250700</v>
      </c>
      <c r="C6" s="218">
        <f t="shared" si="1"/>
        <v>110000</v>
      </c>
      <c r="D6" s="218">
        <f t="shared" si="2"/>
        <v>21000</v>
      </c>
      <c r="E6" s="218">
        <f t="shared" si="3"/>
        <v>0</v>
      </c>
      <c r="F6" s="10">
        <f t="shared" si="4"/>
        <v>381700</v>
      </c>
      <c r="G6" s="190">
        <f>SUMIF('Internal Transfer'!$A$13:$A$140,A6,'Internal Transfer'!$H$13:$H$140)</f>
        <v>216400</v>
      </c>
      <c r="H6" s="216">
        <f>SUMIF('Internal Transfer'!$A$13:$A$140,A6,'Internal Transfer'!$G$13:$G$140)</f>
        <v>165300</v>
      </c>
    </row>
    <row r="7" spans="1:13" customFormat="1" x14ac:dyDescent="0.2">
      <c r="A7" s="3">
        <f>'Data Source'!B10</f>
        <v>0</v>
      </c>
      <c r="B7" s="217">
        <f t="shared" si="0"/>
        <v>0</v>
      </c>
      <c r="C7" s="218">
        <f t="shared" si="1"/>
        <v>0</v>
      </c>
      <c r="D7" s="218">
        <f t="shared" si="2"/>
        <v>0</v>
      </c>
      <c r="E7" s="218">
        <f t="shared" si="3"/>
        <v>0</v>
      </c>
      <c r="F7" s="10">
        <f t="shared" si="4"/>
        <v>0</v>
      </c>
      <c r="G7" s="190">
        <f>SUMIF('Internal Transfer'!$A$13:$A$140,A7,'Internal Transfer'!$H$13:$H$140)</f>
        <v>0</v>
      </c>
      <c r="H7" s="216">
        <f>SUMIF('Internal Transfer'!$A$13:$A$140,A7,'Internal Transfer'!$G$13:$G$140)</f>
        <v>0</v>
      </c>
    </row>
    <row r="8" spans="1:13" customFormat="1" x14ac:dyDescent="0.2">
      <c r="A8" s="3">
        <f>'Data Source'!B11</f>
        <v>0</v>
      </c>
      <c r="B8" s="217">
        <f t="shared" si="0"/>
        <v>0</v>
      </c>
      <c r="C8" s="218">
        <f t="shared" si="1"/>
        <v>0</v>
      </c>
      <c r="D8" s="218">
        <f t="shared" si="2"/>
        <v>0</v>
      </c>
      <c r="E8" s="218">
        <f t="shared" si="3"/>
        <v>0</v>
      </c>
      <c r="F8" s="10">
        <f t="shared" si="4"/>
        <v>0</v>
      </c>
      <c r="G8" s="190">
        <f>SUMIF('Internal Transfer'!$A$13:$A$140,A8,'Internal Transfer'!$H$13:$H$140)</f>
        <v>0</v>
      </c>
      <c r="H8" s="216">
        <f>SUMIF('Internal Transfer'!$A$13:$A$140,A8,'Internal Transfer'!$G$13:$G$140)</f>
        <v>0</v>
      </c>
    </row>
    <row r="9" spans="1:13" customFormat="1" ht="16" thickBot="1" x14ac:dyDescent="0.25">
      <c r="A9" s="3">
        <f>'Data Source'!B12</f>
        <v>0</v>
      </c>
      <c r="B9" s="219">
        <f t="shared" si="0"/>
        <v>0</v>
      </c>
      <c r="C9" s="220">
        <f t="shared" si="1"/>
        <v>0</v>
      </c>
      <c r="D9" s="220">
        <f t="shared" si="2"/>
        <v>0</v>
      </c>
      <c r="E9" s="220">
        <f t="shared" si="3"/>
        <v>0</v>
      </c>
      <c r="F9" s="10">
        <f t="shared" si="4"/>
        <v>0</v>
      </c>
      <c r="G9" s="190">
        <f>SUMIF('Internal Transfer'!$A$13:$A$140,A9,'Internal Transfer'!$H$13:$H$140)</f>
        <v>0</v>
      </c>
      <c r="H9" s="216">
        <f>SUMIF('Internal Transfer'!$A$13:$A$140,A9,'Internal Transfer'!$G$13:$G$140)</f>
        <v>0</v>
      </c>
    </row>
    <row r="10" spans="1:13" customFormat="1" ht="17" thickBot="1" x14ac:dyDescent="0.25">
      <c r="A10" s="5" t="s">
        <v>34</v>
      </c>
      <c r="B10" s="28">
        <f>SUM(B3:B6)</f>
        <v>867200</v>
      </c>
      <c r="C10" s="221">
        <f>SUM(C3:C6)</f>
        <v>385000</v>
      </c>
      <c r="D10" s="221">
        <f>SUM(D3:D6)</f>
        <v>83000</v>
      </c>
      <c r="E10" s="194">
        <f>SUM(E3:E6)</f>
        <v>650</v>
      </c>
      <c r="F10" s="13">
        <f>SUM(F3:F9)</f>
        <v>1335850</v>
      </c>
      <c r="G10" s="91">
        <f>SUM(G3:G6)</f>
        <v>669050</v>
      </c>
      <c r="H10" s="222">
        <f>SUM(H3:H6)</f>
        <v>666800</v>
      </c>
    </row>
    <row r="12" spans="1:13" s="150" customFormat="1" ht="16" x14ac:dyDescent="0.2">
      <c r="A12" s="198" t="s">
        <v>30</v>
      </c>
      <c r="B12" s="199" t="s">
        <v>105</v>
      </c>
      <c r="C12" s="199" t="s">
        <v>94</v>
      </c>
      <c r="D12" s="200" t="s">
        <v>109</v>
      </c>
      <c r="E12" s="198" t="s">
        <v>110</v>
      </c>
      <c r="F12" s="198" t="s">
        <v>111</v>
      </c>
      <c r="G12" s="198" t="s">
        <v>112</v>
      </c>
      <c r="H12" s="198" t="s">
        <v>113</v>
      </c>
      <c r="I12" s="198" t="s">
        <v>35</v>
      </c>
      <c r="J12" s="198" t="s">
        <v>55</v>
      </c>
      <c r="M12" s="201"/>
    </row>
    <row r="13" spans="1:13" x14ac:dyDescent="0.2">
      <c r="A13" s="202" t="s">
        <v>17</v>
      </c>
      <c r="B13" s="269" t="s">
        <v>146</v>
      </c>
      <c r="C13" s="269" t="s">
        <v>169</v>
      </c>
      <c r="D13" s="270" t="s">
        <v>131</v>
      </c>
      <c r="E13" s="270" t="s">
        <v>13</v>
      </c>
      <c r="F13" s="202" t="s">
        <v>12</v>
      </c>
      <c r="G13" s="203">
        <v>50000</v>
      </c>
      <c r="H13" s="203"/>
      <c r="I13" s="204" t="s">
        <v>51</v>
      </c>
      <c r="J13" s="274"/>
    </row>
    <row r="14" spans="1:13" x14ac:dyDescent="0.2">
      <c r="A14" s="202" t="s">
        <v>31</v>
      </c>
      <c r="B14" s="269" t="s">
        <v>147</v>
      </c>
      <c r="C14" s="271" t="s">
        <v>170</v>
      </c>
      <c r="D14" s="270" t="s">
        <v>133</v>
      </c>
      <c r="E14" s="270" t="s">
        <v>13</v>
      </c>
      <c r="F14" s="202" t="s">
        <v>12</v>
      </c>
      <c r="G14" s="203">
        <v>30000</v>
      </c>
      <c r="H14" s="203"/>
      <c r="I14" s="204" t="s">
        <v>52</v>
      </c>
      <c r="J14" s="274"/>
    </row>
    <row r="15" spans="1:13" x14ac:dyDescent="0.2">
      <c r="A15" s="202" t="s">
        <v>32</v>
      </c>
      <c r="B15" s="272" t="s">
        <v>148</v>
      </c>
      <c r="C15" s="273" t="s">
        <v>171</v>
      </c>
      <c r="D15" s="270" t="s">
        <v>243</v>
      </c>
      <c r="E15" s="270" t="s">
        <v>13</v>
      </c>
      <c r="F15" s="202" t="s">
        <v>12</v>
      </c>
      <c r="G15" s="203">
        <v>80000</v>
      </c>
      <c r="H15" s="203"/>
      <c r="I15" s="204" t="s">
        <v>53</v>
      </c>
      <c r="J15" s="274"/>
    </row>
    <row r="16" spans="1:13" x14ac:dyDescent="0.2">
      <c r="A16" s="202" t="s">
        <v>33</v>
      </c>
      <c r="B16" s="272" t="s">
        <v>149</v>
      </c>
      <c r="C16" s="273" t="s">
        <v>172</v>
      </c>
      <c r="D16" s="270" t="s">
        <v>244</v>
      </c>
      <c r="E16" s="270" t="s">
        <v>13</v>
      </c>
      <c r="F16" s="202" t="s">
        <v>12</v>
      </c>
      <c r="G16" s="203">
        <v>40000</v>
      </c>
      <c r="H16" s="203"/>
      <c r="I16" s="204" t="s">
        <v>54</v>
      </c>
      <c r="J16" s="274"/>
    </row>
    <row r="17" spans="1:10" x14ac:dyDescent="0.2">
      <c r="A17" s="202" t="s">
        <v>17</v>
      </c>
      <c r="B17" s="272" t="s">
        <v>150</v>
      </c>
      <c r="C17" s="273" t="s">
        <v>173</v>
      </c>
      <c r="D17" s="270" t="s">
        <v>13</v>
      </c>
      <c r="E17" s="270" t="s">
        <v>131</v>
      </c>
      <c r="F17" s="202" t="s">
        <v>23</v>
      </c>
      <c r="G17" s="203">
        <v>100000</v>
      </c>
      <c r="H17" s="203"/>
      <c r="I17" s="204" t="s">
        <v>51</v>
      </c>
      <c r="J17" s="274"/>
    </row>
    <row r="18" spans="1:10" x14ac:dyDescent="0.2">
      <c r="A18" s="202" t="s">
        <v>31</v>
      </c>
      <c r="B18" s="272" t="s">
        <v>151</v>
      </c>
      <c r="C18" s="273" t="s">
        <v>174</v>
      </c>
      <c r="D18" s="270" t="s">
        <v>13</v>
      </c>
      <c r="E18" s="270" t="s">
        <v>133</v>
      </c>
      <c r="F18" s="202" t="s">
        <v>23</v>
      </c>
      <c r="G18" s="203">
        <v>150000</v>
      </c>
      <c r="H18" s="203"/>
      <c r="I18" s="204" t="s">
        <v>52</v>
      </c>
      <c r="J18" s="274"/>
    </row>
    <row r="19" spans="1:10" x14ac:dyDescent="0.2">
      <c r="A19" s="202" t="s">
        <v>32</v>
      </c>
      <c r="B19" s="272" t="s">
        <v>152</v>
      </c>
      <c r="C19" s="273" t="s">
        <v>175</v>
      </c>
      <c r="D19" s="270" t="s">
        <v>245</v>
      </c>
      <c r="E19" s="270" t="s">
        <v>132</v>
      </c>
      <c r="F19" s="202" t="s">
        <v>23</v>
      </c>
      <c r="G19" s="203">
        <v>75000</v>
      </c>
      <c r="H19" s="203"/>
      <c r="I19" s="204" t="s">
        <v>53</v>
      </c>
      <c r="J19" s="274"/>
    </row>
    <row r="20" spans="1:10" x14ac:dyDescent="0.2">
      <c r="A20" s="202" t="s">
        <v>33</v>
      </c>
      <c r="B20" s="272" t="s">
        <v>18</v>
      </c>
      <c r="C20" s="273" t="s">
        <v>176</v>
      </c>
      <c r="D20" s="270" t="s">
        <v>246</v>
      </c>
      <c r="E20" s="270" t="s">
        <v>132</v>
      </c>
      <c r="F20" s="202" t="s">
        <v>23</v>
      </c>
      <c r="G20" s="203">
        <v>90000</v>
      </c>
      <c r="H20" s="203"/>
      <c r="I20" s="204" t="s">
        <v>54</v>
      </c>
      <c r="J20" s="274"/>
    </row>
    <row r="21" spans="1:10" x14ac:dyDescent="0.2">
      <c r="A21" s="202" t="s">
        <v>17</v>
      </c>
      <c r="B21" s="272" t="s">
        <v>153</v>
      </c>
      <c r="C21" s="273" t="s">
        <v>177</v>
      </c>
      <c r="D21" s="270" t="s">
        <v>13</v>
      </c>
      <c r="E21" s="270" t="s">
        <v>239</v>
      </c>
      <c r="F21" s="202" t="s">
        <v>24</v>
      </c>
      <c r="G21" s="203">
        <v>15000</v>
      </c>
      <c r="H21" s="203"/>
      <c r="I21" s="204" t="s">
        <v>51</v>
      </c>
      <c r="J21" s="274"/>
    </row>
    <row r="22" spans="1:10" x14ac:dyDescent="0.2">
      <c r="A22" s="202" t="s">
        <v>31</v>
      </c>
      <c r="B22" s="272" t="s">
        <v>154</v>
      </c>
      <c r="C22" s="273" t="s">
        <v>178</v>
      </c>
      <c r="D22" s="270" t="s">
        <v>133</v>
      </c>
      <c r="E22" s="270" t="s">
        <v>240</v>
      </c>
      <c r="F22" s="202" t="s">
        <v>24</v>
      </c>
      <c r="G22" s="203">
        <v>20000</v>
      </c>
      <c r="H22" s="203"/>
      <c r="I22" s="204" t="s">
        <v>52</v>
      </c>
      <c r="J22" s="274"/>
    </row>
    <row r="23" spans="1:10" x14ac:dyDescent="0.2">
      <c r="A23" s="202" t="s">
        <v>32</v>
      </c>
      <c r="B23" s="272" t="s">
        <v>155</v>
      </c>
      <c r="C23" s="273" t="s">
        <v>179</v>
      </c>
      <c r="D23" s="270" t="s">
        <v>132</v>
      </c>
      <c r="E23" s="270" t="s">
        <v>131</v>
      </c>
      <c r="F23" s="202" t="s">
        <v>24</v>
      </c>
      <c r="G23" s="203">
        <v>10000</v>
      </c>
      <c r="H23" s="203"/>
      <c r="I23" s="204" t="s">
        <v>53</v>
      </c>
      <c r="J23" s="274"/>
    </row>
    <row r="24" spans="1:10" x14ac:dyDescent="0.2">
      <c r="A24" s="202" t="s">
        <v>33</v>
      </c>
      <c r="B24" s="272" t="s">
        <v>129</v>
      </c>
      <c r="C24" s="273" t="s">
        <v>180</v>
      </c>
      <c r="D24" s="270" t="s">
        <v>13</v>
      </c>
      <c r="E24" s="270" t="s">
        <v>241</v>
      </c>
      <c r="F24" s="202" t="s">
        <v>24</v>
      </c>
      <c r="G24" s="203">
        <v>5000</v>
      </c>
      <c r="H24" s="203"/>
      <c r="I24" s="204" t="s">
        <v>54</v>
      </c>
      <c r="J24" s="274"/>
    </row>
    <row r="25" spans="1:10" x14ac:dyDescent="0.2">
      <c r="A25" s="202" t="s">
        <v>17</v>
      </c>
      <c r="B25" s="272" t="s">
        <v>156</v>
      </c>
      <c r="C25" s="273" t="s">
        <v>181</v>
      </c>
      <c r="D25" s="270" t="s">
        <v>13</v>
      </c>
      <c r="E25" s="270" t="s">
        <v>134</v>
      </c>
      <c r="F25" s="202" t="s">
        <v>56</v>
      </c>
      <c r="G25" s="203">
        <v>500</v>
      </c>
      <c r="H25" s="203"/>
      <c r="I25" s="204" t="s">
        <v>51</v>
      </c>
      <c r="J25" s="274"/>
    </row>
    <row r="26" spans="1:10" x14ac:dyDescent="0.2">
      <c r="A26" s="202" t="s">
        <v>31</v>
      </c>
      <c r="B26" s="272" t="s">
        <v>123</v>
      </c>
      <c r="C26" s="273" t="s">
        <v>182</v>
      </c>
      <c r="D26" s="270" t="s">
        <v>13</v>
      </c>
      <c r="E26" s="270" t="s">
        <v>132</v>
      </c>
      <c r="F26" s="202" t="s">
        <v>23</v>
      </c>
      <c r="G26" s="203">
        <v>600</v>
      </c>
      <c r="H26" s="203"/>
      <c r="I26" s="204" t="s">
        <v>52</v>
      </c>
      <c r="J26" s="274"/>
    </row>
    <row r="27" spans="1:10" x14ac:dyDescent="0.2">
      <c r="A27" s="202" t="s">
        <v>32</v>
      </c>
      <c r="B27" s="272" t="s">
        <v>143</v>
      </c>
      <c r="C27" s="273" t="s">
        <v>120</v>
      </c>
      <c r="D27" s="270" t="s">
        <v>13</v>
      </c>
      <c r="E27" s="270" t="s">
        <v>132</v>
      </c>
      <c r="F27" s="202" t="s">
        <v>23</v>
      </c>
      <c r="G27" s="203">
        <v>300</v>
      </c>
      <c r="H27" s="203"/>
      <c r="I27" s="204" t="s">
        <v>53</v>
      </c>
      <c r="J27" s="274"/>
    </row>
    <row r="28" spans="1:10" x14ac:dyDescent="0.2">
      <c r="A28" s="202" t="s">
        <v>33</v>
      </c>
      <c r="B28" s="272" t="s">
        <v>121</v>
      </c>
      <c r="C28" s="273" t="s">
        <v>183</v>
      </c>
      <c r="D28" s="270" t="s">
        <v>239</v>
      </c>
      <c r="E28" s="270" t="s">
        <v>242</v>
      </c>
      <c r="F28" s="202" t="s">
        <v>23</v>
      </c>
      <c r="G28" s="203">
        <v>400</v>
      </c>
      <c r="H28" s="203"/>
      <c r="I28" s="204" t="s">
        <v>54</v>
      </c>
      <c r="J28" s="274"/>
    </row>
    <row r="29" spans="1:10" x14ac:dyDescent="0.2">
      <c r="A29" s="202" t="s">
        <v>17</v>
      </c>
      <c r="B29" s="272" t="s">
        <v>157</v>
      </c>
      <c r="C29" s="273" t="s">
        <v>184</v>
      </c>
      <c r="D29" s="270" t="s">
        <v>247</v>
      </c>
      <c r="E29" s="270" t="s">
        <v>13</v>
      </c>
      <c r="F29" s="202" t="s">
        <v>12</v>
      </c>
      <c r="G29" s="203"/>
      <c r="H29" s="203">
        <v>75000</v>
      </c>
      <c r="I29" s="204" t="s">
        <v>51</v>
      </c>
      <c r="J29" s="274"/>
    </row>
    <row r="30" spans="1:10" x14ac:dyDescent="0.2">
      <c r="A30" s="202" t="s">
        <v>31</v>
      </c>
      <c r="B30" s="272" t="s">
        <v>158</v>
      </c>
      <c r="C30" s="273" t="s">
        <v>185</v>
      </c>
      <c r="D30" s="270" t="s">
        <v>248</v>
      </c>
      <c r="E30" s="270" t="s">
        <v>13</v>
      </c>
      <c r="F30" s="202" t="s">
        <v>12</v>
      </c>
      <c r="G30" s="203"/>
      <c r="H30" s="203">
        <v>30000</v>
      </c>
      <c r="I30" s="204" t="s">
        <v>52</v>
      </c>
      <c r="J30" s="274"/>
    </row>
    <row r="31" spans="1:10" x14ac:dyDescent="0.2">
      <c r="A31" s="202" t="s">
        <v>32</v>
      </c>
      <c r="B31" s="272" t="s">
        <v>159</v>
      </c>
      <c r="C31" s="273" t="s">
        <v>186</v>
      </c>
      <c r="D31" s="270" t="s">
        <v>249</v>
      </c>
      <c r="E31" s="270" t="s">
        <v>13</v>
      </c>
      <c r="F31" s="202" t="s">
        <v>12</v>
      </c>
      <c r="G31" s="203"/>
      <c r="H31" s="203">
        <v>30000</v>
      </c>
      <c r="I31" s="204" t="s">
        <v>53</v>
      </c>
      <c r="J31" s="274"/>
    </row>
    <row r="32" spans="1:10" x14ac:dyDescent="0.2">
      <c r="A32" s="202" t="s">
        <v>33</v>
      </c>
      <c r="B32" s="272" t="s">
        <v>160</v>
      </c>
      <c r="C32" s="273" t="s">
        <v>187</v>
      </c>
      <c r="D32" s="270" t="s">
        <v>250</v>
      </c>
      <c r="E32" s="270" t="s">
        <v>13</v>
      </c>
      <c r="F32" s="202" t="s">
        <v>12</v>
      </c>
      <c r="G32" s="203"/>
      <c r="H32" s="203">
        <v>50000</v>
      </c>
      <c r="I32" s="204" t="s">
        <v>54</v>
      </c>
      <c r="J32" s="274"/>
    </row>
    <row r="33" spans="1:10" x14ac:dyDescent="0.2">
      <c r="A33" s="202" t="s">
        <v>17</v>
      </c>
      <c r="B33" s="272" t="s">
        <v>161</v>
      </c>
      <c r="C33" s="273" t="s">
        <v>119</v>
      </c>
      <c r="D33" s="270" t="s">
        <v>135</v>
      </c>
      <c r="E33" s="270" t="s">
        <v>131</v>
      </c>
      <c r="F33" s="202" t="s">
        <v>23</v>
      </c>
      <c r="G33" s="203"/>
      <c r="H33" s="203">
        <v>50000</v>
      </c>
      <c r="I33" s="204" t="s">
        <v>51</v>
      </c>
      <c r="J33" s="274"/>
    </row>
    <row r="34" spans="1:10" x14ac:dyDescent="0.2">
      <c r="A34" s="202" t="s">
        <v>31</v>
      </c>
      <c r="B34" s="272" t="s">
        <v>162</v>
      </c>
      <c r="C34" s="273" t="s">
        <v>127</v>
      </c>
      <c r="D34" s="270" t="s">
        <v>13</v>
      </c>
      <c r="E34" s="270" t="s">
        <v>133</v>
      </c>
      <c r="F34" s="202" t="s">
        <v>23</v>
      </c>
      <c r="G34" s="203"/>
      <c r="H34" s="203">
        <v>125000</v>
      </c>
      <c r="I34" s="204" t="s">
        <v>52</v>
      </c>
      <c r="J34" s="274"/>
    </row>
    <row r="35" spans="1:10" x14ac:dyDescent="0.2">
      <c r="A35" s="202" t="s">
        <v>32</v>
      </c>
      <c r="B35" s="272" t="s">
        <v>163</v>
      </c>
      <c r="C35" s="273" t="s">
        <v>188</v>
      </c>
      <c r="D35" s="270" t="s">
        <v>13</v>
      </c>
      <c r="E35" s="270" t="s">
        <v>132</v>
      </c>
      <c r="F35" s="202" t="s">
        <v>23</v>
      </c>
      <c r="G35" s="203"/>
      <c r="H35" s="203">
        <v>175000</v>
      </c>
      <c r="I35" s="204" t="s">
        <v>53</v>
      </c>
      <c r="J35" s="274"/>
    </row>
    <row r="36" spans="1:10" x14ac:dyDescent="0.2">
      <c r="A36" s="202" t="s">
        <v>33</v>
      </c>
      <c r="B36" s="272" t="s">
        <v>164</v>
      </c>
      <c r="C36" s="273" t="s">
        <v>189</v>
      </c>
      <c r="D36" s="270" t="s">
        <v>251</v>
      </c>
      <c r="E36" s="270" t="s">
        <v>132</v>
      </c>
      <c r="F36" s="202" t="s">
        <v>23</v>
      </c>
      <c r="G36" s="203"/>
      <c r="H36" s="203">
        <v>100000</v>
      </c>
      <c r="I36" s="204" t="s">
        <v>54</v>
      </c>
      <c r="J36" s="274"/>
    </row>
    <row r="37" spans="1:10" x14ac:dyDescent="0.2">
      <c r="A37" s="202" t="s">
        <v>17</v>
      </c>
      <c r="B37" s="272" t="s">
        <v>165</v>
      </c>
      <c r="C37" s="273" t="s">
        <v>190</v>
      </c>
      <c r="D37" s="270" t="s">
        <v>252</v>
      </c>
      <c r="E37" s="270" t="s">
        <v>239</v>
      </c>
      <c r="F37" s="202" t="s">
        <v>24</v>
      </c>
      <c r="G37" s="203"/>
      <c r="H37" s="203">
        <v>8000</v>
      </c>
      <c r="I37" s="204" t="s">
        <v>51</v>
      </c>
      <c r="J37" s="274"/>
    </row>
    <row r="38" spans="1:10" x14ac:dyDescent="0.2">
      <c r="A38" s="202" t="s">
        <v>31</v>
      </c>
      <c r="B38" s="272" t="s">
        <v>166</v>
      </c>
      <c r="C38" s="273" t="s">
        <v>191</v>
      </c>
      <c r="D38" s="270" t="s">
        <v>13</v>
      </c>
      <c r="E38" s="270" t="s">
        <v>239</v>
      </c>
      <c r="F38" s="202" t="s">
        <v>24</v>
      </c>
      <c r="G38" s="203"/>
      <c r="H38" s="203">
        <v>6000</v>
      </c>
      <c r="I38" s="204" t="s">
        <v>52</v>
      </c>
      <c r="J38" s="274"/>
    </row>
    <row r="39" spans="1:10" x14ac:dyDescent="0.2">
      <c r="A39" s="202" t="s">
        <v>32</v>
      </c>
      <c r="B39" s="272" t="s">
        <v>167</v>
      </c>
      <c r="C39" s="273" t="s">
        <v>192</v>
      </c>
      <c r="D39" s="270" t="s">
        <v>133</v>
      </c>
      <c r="E39" s="270" t="s">
        <v>239</v>
      </c>
      <c r="F39" s="202" t="s">
        <v>24</v>
      </c>
      <c r="G39" s="203"/>
      <c r="H39" s="203">
        <v>11000</v>
      </c>
      <c r="I39" s="204" t="s">
        <v>53</v>
      </c>
      <c r="J39" s="274"/>
    </row>
    <row r="40" spans="1:10" x14ac:dyDescent="0.2">
      <c r="A40" s="202" t="s">
        <v>33</v>
      </c>
      <c r="B40" s="272" t="s">
        <v>168</v>
      </c>
      <c r="C40" s="273" t="s">
        <v>193</v>
      </c>
      <c r="D40" s="270" t="s">
        <v>253</v>
      </c>
      <c r="E40" s="270" t="s">
        <v>239</v>
      </c>
      <c r="F40" s="202" t="s">
        <v>24</v>
      </c>
      <c r="G40" s="203"/>
      <c r="H40" s="203">
        <v>8000</v>
      </c>
      <c r="I40" s="204" t="s">
        <v>54</v>
      </c>
      <c r="J40" s="274"/>
    </row>
    <row r="41" spans="1:10" x14ac:dyDescent="0.2">
      <c r="A41" s="202" t="s">
        <v>17</v>
      </c>
      <c r="B41" s="272" t="s">
        <v>143</v>
      </c>
      <c r="C41" s="273" t="s">
        <v>120</v>
      </c>
      <c r="D41" s="270" t="s">
        <v>13</v>
      </c>
      <c r="E41" s="270" t="s">
        <v>132</v>
      </c>
      <c r="F41" s="202" t="s">
        <v>23</v>
      </c>
      <c r="G41" s="203"/>
      <c r="H41" s="203">
        <v>300</v>
      </c>
      <c r="I41" s="204" t="s">
        <v>51</v>
      </c>
      <c r="J41" s="274"/>
    </row>
    <row r="42" spans="1:10" x14ac:dyDescent="0.2">
      <c r="A42" s="202" t="s">
        <v>31</v>
      </c>
      <c r="B42" s="272" t="s">
        <v>143</v>
      </c>
      <c r="C42" s="273" t="s">
        <v>120</v>
      </c>
      <c r="D42" s="270" t="s">
        <v>13</v>
      </c>
      <c r="E42" s="270" t="s">
        <v>132</v>
      </c>
      <c r="F42" s="202" t="s">
        <v>23</v>
      </c>
      <c r="G42" s="203"/>
      <c r="H42" s="203">
        <v>200</v>
      </c>
      <c r="I42" s="204" t="s">
        <v>52</v>
      </c>
      <c r="J42" s="274"/>
    </row>
    <row r="43" spans="1:10" x14ac:dyDescent="0.2">
      <c r="A43" s="202" t="s">
        <v>32</v>
      </c>
      <c r="B43" s="272" t="s">
        <v>163</v>
      </c>
      <c r="C43" s="273" t="s">
        <v>188</v>
      </c>
      <c r="D43" s="270" t="s">
        <v>13</v>
      </c>
      <c r="E43" s="270" t="s">
        <v>132</v>
      </c>
      <c r="F43" s="202" t="s">
        <v>23</v>
      </c>
      <c r="G43" s="203"/>
      <c r="H43" s="203">
        <v>400</v>
      </c>
      <c r="I43" s="204" t="s">
        <v>53</v>
      </c>
      <c r="J43" s="274"/>
    </row>
    <row r="44" spans="1:10" x14ac:dyDescent="0.2">
      <c r="A44" s="202" t="s">
        <v>33</v>
      </c>
      <c r="B44" s="272" t="s">
        <v>164</v>
      </c>
      <c r="C44" s="273" t="s">
        <v>189</v>
      </c>
      <c r="D44" s="270" t="s">
        <v>13</v>
      </c>
      <c r="E44" s="270" t="s">
        <v>134</v>
      </c>
      <c r="F44" s="202" t="s">
        <v>56</v>
      </c>
      <c r="G44" s="203"/>
      <c r="H44" s="203">
        <v>150</v>
      </c>
      <c r="I44" s="204" t="s">
        <v>54</v>
      </c>
      <c r="J44" s="274"/>
    </row>
    <row r="45" spans="1:10" x14ac:dyDescent="0.2">
      <c r="A45" s="202"/>
      <c r="B45" s="270"/>
      <c r="C45" s="270"/>
      <c r="D45" s="270"/>
      <c r="E45" s="270"/>
      <c r="F45" s="202"/>
      <c r="G45" s="203"/>
      <c r="H45" s="203"/>
      <c r="I45" s="204"/>
      <c r="J45" s="274"/>
    </row>
    <row r="46" spans="1:10" x14ac:dyDescent="0.2">
      <c r="A46" s="202"/>
      <c r="B46" s="270"/>
      <c r="C46" s="270"/>
      <c r="D46" s="270"/>
      <c r="E46" s="270"/>
      <c r="F46" s="202"/>
      <c r="G46" s="203"/>
      <c r="H46" s="203"/>
      <c r="I46" s="204"/>
      <c r="J46" s="274"/>
    </row>
    <row r="47" spans="1:10" x14ac:dyDescent="0.2">
      <c r="A47" s="202"/>
      <c r="B47" s="270"/>
      <c r="C47" s="270"/>
      <c r="D47" s="270"/>
      <c r="E47" s="270"/>
      <c r="F47" s="202"/>
      <c r="G47" s="203"/>
      <c r="H47" s="203"/>
      <c r="I47" s="204"/>
      <c r="J47" s="274"/>
    </row>
    <row r="48" spans="1:10" x14ac:dyDescent="0.2">
      <c r="A48" s="202"/>
      <c r="B48" s="270"/>
      <c r="C48" s="270"/>
      <c r="D48" s="270"/>
      <c r="E48" s="270"/>
      <c r="F48" s="202"/>
      <c r="G48" s="203"/>
      <c r="H48" s="203"/>
      <c r="I48" s="204"/>
      <c r="J48" s="274"/>
    </row>
    <row r="49" spans="1:10" x14ac:dyDescent="0.2">
      <c r="A49" s="202"/>
      <c r="B49" s="270"/>
      <c r="C49" s="270"/>
      <c r="D49" s="270"/>
      <c r="E49" s="270"/>
      <c r="F49" s="202"/>
      <c r="G49" s="203"/>
      <c r="H49" s="203"/>
      <c r="I49" s="204"/>
      <c r="J49" s="274"/>
    </row>
    <row r="50" spans="1:10" x14ac:dyDescent="0.2">
      <c r="A50" s="202"/>
      <c r="B50" s="270"/>
      <c r="C50" s="270"/>
      <c r="D50" s="270"/>
      <c r="E50" s="270"/>
      <c r="F50" s="202"/>
      <c r="G50" s="203"/>
      <c r="H50" s="203"/>
      <c r="I50" s="204"/>
      <c r="J50" s="274"/>
    </row>
    <row r="51" spans="1:10" x14ac:dyDescent="0.2">
      <c r="A51" s="202"/>
      <c r="B51" s="270"/>
      <c r="C51" s="270"/>
      <c r="D51" s="270"/>
      <c r="E51" s="270"/>
      <c r="F51" s="202"/>
      <c r="G51" s="203"/>
      <c r="H51" s="203"/>
      <c r="I51" s="204"/>
      <c r="J51" s="274"/>
    </row>
    <row r="52" spans="1:10" x14ac:dyDescent="0.2">
      <c r="A52" s="202"/>
      <c r="B52" s="270"/>
      <c r="C52" s="270"/>
      <c r="D52" s="270"/>
      <c r="E52" s="270"/>
      <c r="F52" s="202"/>
      <c r="G52" s="203"/>
      <c r="H52" s="203"/>
      <c r="I52" s="204"/>
      <c r="J52" s="274"/>
    </row>
    <row r="53" spans="1:10" x14ac:dyDescent="0.2">
      <c r="A53" s="202"/>
      <c r="B53" s="270"/>
      <c r="C53" s="270"/>
      <c r="D53" s="270"/>
      <c r="E53" s="270"/>
      <c r="F53" s="202"/>
      <c r="G53" s="203"/>
      <c r="H53" s="203"/>
      <c r="I53" s="204"/>
      <c r="J53" s="274"/>
    </row>
    <row r="54" spans="1:10" x14ac:dyDescent="0.2">
      <c r="A54" s="202"/>
      <c r="B54" s="270"/>
      <c r="C54" s="270"/>
      <c r="D54" s="270"/>
      <c r="E54" s="270"/>
      <c r="F54" s="202"/>
      <c r="G54" s="203"/>
      <c r="H54" s="203"/>
      <c r="I54" s="204"/>
      <c r="J54" s="274"/>
    </row>
    <row r="55" spans="1:10" x14ac:dyDescent="0.2">
      <c r="A55" s="202"/>
      <c r="B55" s="270"/>
      <c r="C55" s="270"/>
      <c r="D55" s="270"/>
      <c r="E55" s="270"/>
      <c r="F55" s="202"/>
      <c r="G55" s="203"/>
      <c r="H55" s="203"/>
      <c r="I55" s="204"/>
      <c r="J55" s="274"/>
    </row>
    <row r="56" spans="1:10" x14ac:dyDescent="0.2">
      <c r="A56" s="202"/>
      <c r="B56" s="270"/>
      <c r="C56" s="270"/>
      <c r="D56" s="270"/>
      <c r="E56" s="270"/>
      <c r="F56" s="202"/>
      <c r="G56" s="203"/>
      <c r="H56" s="203"/>
      <c r="I56" s="204"/>
      <c r="J56" s="274"/>
    </row>
    <row r="57" spans="1:10" x14ac:dyDescent="0.2">
      <c r="A57" s="202"/>
      <c r="B57" s="270"/>
      <c r="C57" s="270"/>
      <c r="D57" s="270"/>
      <c r="E57" s="270"/>
      <c r="F57" s="202"/>
      <c r="G57" s="203"/>
      <c r="H57" s="203"/>
      <c r="I57" s="204"/>
      <c r="J57" s="274"/>
    </row>
    <row r="58" spans="1:10" x14ac:dyDescent="0.2">
      <c r="A58" s="202"/>
      <c r="B58" s="270"/>
      <c r="C58" s="270"/>
      <c r="D58" s="270"/>
      <c r="E58" s="270"/>
      <c r="F58" s="202"/>
      <c r="G58" s="203"/>
      <c r="H58" s="203"/>
      <c r="I58" s="204"/>
      <c r="J58" s="274"/>
    </row>
    <row r="59" spans="1:10" x14ac:dyDescent="0.2">
      <c r="A59" s="202"/>
      <c r="B59" s="270"/>
      <c r="C59" s="270"/>
      <c r="D59" s="270"/>
      <c r="E59" s="270"/>
      <c r="F59" s="202"/>
      <c r="G59" s="203"/>
      <c r="H59" s="203"/>
      <c r="I59" s="204"/>
      <c r="J59" s="274"/>
    </row>
    <row r="60" spans="1:10" x14ac:dyDescent="0.2">
      <c r="A60" s="202"/>
      <c r="B60" s="270"/>
      <c r="C60" s="270"/>
      <c r="D60" s="270"/>
      <c r="E60" s="270"/>
      <c r="F60" s="202"/>
      <c r="G60" s="203"/>
      <c r="H60" s="203"/>
      <c r="I60" s="204"/>
      <c r="J60" s="274"/>
    </row>
    <row r="61" spans="1:10" x14ac:dyDescent="0.2">
      <c r="A61" s="202"/>
      <c r="B61" s="270"/>
      <c r="C61" s="270"/>
      <c r="D61" s="270"/>
      <c r="E61" s="270"/>
      <c r="F61" s="202"/>
      <c r="G61" s="203"/>
      <c r="H61" s="203"/>
      <c r="I61" s="204"/>
      <c r="J61" s="274"/>
    </row>
    <row r="62" spans="1:10" x14ac:dyDescent="0.2">
      <c r="A62" s="202"/>
      <c r="B62" s="270"/>
      <c r="C62" s="270"/>
      <c r="D62" s="270"/>
      <c r="E62" s="270"/>
      <c r="F62" s="202"/>
      <c r="G62" s="203"/>
      <c r="H62" s="203"/>
      <c r="I62" s="204"/>
      <c r="J62" s="274"/>
    </row>
    <row r="63" spans="1:10" x14ac:dyDescent="0.2">
      <c r="A63" s="202"/>
      <c r="B63" s="270"/>
      <c r="C63" s="270"/>
      <c r="D63" s="270"/>
      <c r="E63" s="270"/>
      <c r="F63" s="202"/>
      <c r="G63" s="203"/>
      <c r="H63" s="203"/>
      <c r="I63" s="204"/>
      <c r="J63" s="274"/>
    </row>
    <row r="64" spans="1:10" x14ac:dyDescent="0.2">
      <c r="A64" s="202"/>
      <c r="B64" s="270"/>
      <c r="C64" s="270"/>
      <c r="D64" s="270"/>
      <c r="E64" s="270"/>
      <c r="F64" s="202"/>
      <c r="G64" s="203"/>
      <c r="H64" s="203"/>
      <c r="I64" s="204"/>
      <c r="J64" s="274"/>
    </row>
    <row r="65" spans="1:10" x14ac:dyDescent="0.2">
      <c r="A65" s="202"/>
      <c r="B65" s="270"/>
      <c r="C65" s="270"/>
      <c r="D65" s="270"/>
      <c r="E65" s="270"/>
      <c r="F65" s="202"/>
      <c r="G65" s="203"/>
      <c r="H65" s="203"/>
      <c r="I65" s="204"/>
      <c r="J65" s="274"/>
    </row>
    <row r="66" spans="1:10" x14ac:dyDescent="0.2">
      <c r="A66" s="202"/>
      <c r="B66" s="270"/>
      <c r="C66" s="270"/>
      <c r="D66" s="270"/>
      <c r="E66" s="270"/>
      <c r="F66" s="202"/>
      <c r="G66" s="203"/>
      <c r="H66" s="203"/>
      <c r="I66" s="204"/>
      <c r="J66" s="274"/>
    </row>
    <row r="67" spans="1:10" x14ac:dyDescent="0.2">
      <c r="A67" s="202"/>
      <c r="B67" s="270"/>
      <c r="C67" s="270"/>
      <c r="D67" s="270"/>
      <c r="E67" s="270"/>
      <c r="F67" s="202"/>
      <c r="G67" s="203"/>
      <c r="H67" s="203"/>
      <c r="I67" s="204"/>
      <c r="J67" s="274"/>
    </row>
    <row r="68" spans="1:10" x14ac:dyDescent="0.2">
      <c r="A68" s="202"/>
      <c r="B68" s="270"/>
      <c r="C68" s="270"/>
      <c r="D68" s="270"/>
      <c r="E68" s="270"/>
      <c r="F68" s="202"/>
      <c r="G68" s="203"/>
      <c r="H68" s="203"/>
      <c r="I68" s="204"/>
      <c r="J68" s="274"/>
    </row>
    <row r="69" spans="1:10" x14ac:dyDescent="0.2">
      <c r="A69" s="202"/>
      <c r="B69" s="270"/>
      <c r="C69" s="270"/>
      <c r="D69" s="270"/>
      <c r="E69" s="270"/>
      <c r="F69" s="202"/>
      <c r="G69" s="203"/>
      <c r="H69" s="203"/>
      <c r="I69" s="204"/>
      <c r="J69" s="274"/>
    </row>
    <row r="70" spans="1:10" x14ac:dyDescent="0.2">
      <c r="A70" s="202"/>
      <c r="B70" s="270"/>
      <c r="C70" s="270"/>
      <c r="D70" s="270"/>
      <c r="E70" s="270"/>
      <c r="F70" s="202"/>
      <c r="G70" s="203"/>
      <c r="H70" s="203"/>
      <c r="I70" s="204"/>
      <c r="J70" s="274"/>
    </row>
    <row r="71" spans="1:10" x14ac:dyDescent="0.2">
      <c r="A71" s="202"/>
      <c r="B71" s="270"/>
      <c r="C71" s="270"/>
      <c r="D71" s="270"/>
      <c r="E71" s="270"/>
      <c r="F71" s="202"/>
      <c r="G71" s="203"/>
      <c r="H71" s="203"/>
      <c r="I71" s="204"/>
      <c r="J71" s="274"/>
    </row>
    <row r="72" spans="1:10" x14ac:dyDescent="0.2">
      <c r="A72" s="202"/>
      <c r="B72" s="270"/>
      <c r="C72" s="270"/>
      <c r="D72" s="270"/>
      <c r="E72" s="270"/>
      <c r="F72" s="202"/>
      <c r="G72" s="203"/>
      <c r="H72" s="203"/>
      <c r="I72" s="204"/>
      <c r="J72" s="274"/>
    </row>
    <row r="73" spans="1:10" x14ac:dyDescent="0.2">
      <c r="A73" s="202"/>
      <c r="B73" s="270"/>
      <c r="C73" s="270"/>
      <c r="D73" s="270"/>
      <c r="E73" s="270"/>
      <c r="F73" s="202"/>
      <c r="G73" s="203"/>
      <c r="H73" s="203"/>
      <c r="I73" s="204"/>
      <c r="J73" s="274"/>
    </row>
    <row r="74" spans="1:10" x14ac:dyDescent="0.2">
      <c r="A74" s="202"/>
      <c r="B74" s="270"/>
      <c r="C74" s="270"/>
      <c r="D74" s="270"/>
      <c r="E74" s="270"/>
      <c r="F74" s="202"/>
      <c r="G74" s="203"/>
      <c r="H74" s="203"/>
      <c r="I74" s="204"/>
      <c r="J74" s="274"/>
    </row>
    <row r="75" spans="1:10" x14ac:dyDescent="0.2">
      <c r="A75" s="202"/>
      <c r="B75" s="270"/>
      <c r="C75" s="270"/>
      <c r="D75" s="270"/>
      <c r="E75" s="270"/>
      <c r="F75" s="202"/>
      <c r="G75" s="203"/>
      <c r="H75" s="203"/>
      <c r="I75" s="204"/>
      <c r="J75" s="274"/>
    </row>
    <row r="76" spans="1:10" x14ac:dyDescent="0.2">
      <c r="A76" s="202"/>
      <c r="B76" s="270"/>
      <c r="C76" s="270"/>
      <c r="D76" s="270"/>
      <c r="E76" s="270"/>
      <c r="F76" s="202"/>
      <c r="G76" s="203"/>
      <c r="H76" s="203"/>
      <c r="I76" s="204"/>
      <c r="J76" s="274"/>
    </row>
    <row r="77" spans="1:10" x14ac:dyDescent="0.2">
      <c r="A77" s="202"/>
      <c r="B77" s="270"/>
      <c r="C77" s="270"/>
      <c r="D77" s="270"/>
      <c r="E77" s="270"/>
      <c r="F77" s="202"/>
      <c r="G77" s="203"/>
      <c r="H77" s="203"/>
      <c r="I77" s="204"/>
      <c r="J77" s="274"/>
    </row>
    <row r="78" spans="1:10" x14ac:dyDescent="0.2">
      <c r="A78" s="202"/>
      <c r="B78" s="270"/>
      <c r="C78" s="270"/>
      <c r="D78" s="270"/>
      <c r="E78" s="270"/>
      <c r="F78" s="202"/>
      <c r="G78" s="203"/>
      <c r="H78" s="203"/>
      <c r="I78" s="204"/>
      <c r="J78" s="274"/>
    </row>
    <row r="79" spans="1:10" x14ac:dyDescent="0.2">
      <c r="A79" s="202"/>
      <c r="B79" s="270"/>
      <c r="C79" s="270"/>
      <c r="D79" s="270"/>
      <c r="E79" s="270"/>
      <c r="F79" s="202"/>
      <c r="G79" s="203"/>
      <c r="H79" s="203"/>
      <c r="I79" s="204"/>
      <c r="J79" s="274"/>
    </row>
    <row r="80" spans="1:10" x14ac:dyDescent="0.2">
      <c r="A80" s="202"/>
      <c r="B80" s="270"/>
      <c r="C80" s="270"/>
      <c r="D80" s="270"/>
      <c r="E80" s="270"/>
      <c r="F80" s="202"/>
      <c r="G80" s="203"/>
      <c r="H80" s="203"/>
      <c r="I80" s="204"/>
      <c r="J80" s="274"/>
    </row>
    <row r="81" spans="1:10" x14ac:dyDescent="0.2">
      <c r="A81" s="202"/>
      <c r="B81" s="270"/>
      <c r="C81" s="270"/>
      <c r="D81" s="270"/>
      <c r="E81" s="270"/>
      <c r="F81" s="202"/>
      <c r="G81" s="203"/>
      <c r="H81" s="203"/>
      <c r="I81" s="204"/>
      <c r="J81" s="274"/>
    </row>
    <row r="82" spans="1:10" x14ac:dyDescent="0.2">
      <c r="A82" s="202"/>
      <c r="B82" s="270"/>
      <c r="C82" s="270"/>
      <c r="D82" s="270"/>
      <c r="E82" s="270"/>
      <c r="F82" s="202"/>
      <c r="G82" s="203"/>
      <c r="H82" s="203"/>
      <c r="I82" s="204"/>
      <c r="J82" s="274"/>
    </row>
    <row r="83" spans="1:10" x14ac:dyDescent="0.2">
      <c r="A83" s="202"/>
      <c r="B83" s="270"/>
      <c r="C83" s="270"/>
      <c r="D83" s="270"/>
      <c r="E83" s="270"/>
      <c r="F83" s="202"/>
      <c r="G83" s="203"/>
      <c r="H83" s="203"/>
      <c r="I83" s="204"/>
      <c r="J83" s="274"/>
    </row>
    <row r="84" spans="1:10" x14ac:dyDescent="0.2">
      <c r="A84" s="202"/>
      <c r="B84" s="270"/>
      <c r="C84" s="270"/>
      <c r="D84" s="270"/>
      <c r="E84" s="270"/>
      <c r="F84" s="202"/>
      <c r="G84" s="203"/>
      <c r="H84" s="203"/>
      <c r="I84" s="204"/>
      <c r="J84" s="274"/>
    </row>
    <row r="85" spans="1:10" x14ac:dyDescent="0.2">
      <c r="A85" s="202"/>
      <c r="B85" s="270"/>
      <c r="C85" s="270"/>
      <c r="D85" s="270"/>
      <c r="E85" s="270"/>
      <c r="F85" s="202"/>
      <c r="G85" s="203"/>
      <c r="H85" s="203"/>
      <c r="I85" s="204"/>
      <c r="J85" s="274"/>
    </row>
    <row r="86" spans="1:10" x14ac:dyDescent="0.2">
      <c r="A86" s="202"/>
      <c r="B86" s="270"/>
      <c r="C86" s="270"/>
      <c r="D86" s="270"/>
      <c r="E86" s="270"/>
      <c r="F86" s="202"/>
      <c r="G86" s="203"/>
      <c r="H86" s="203"/>
      <c r="I86" s="204"/>
      <c r="J86" s="274"/>
    </row>
    <row r="87" spans="1:10" x14ac:dyDescent="0.2">
      <c r="A87" s="202"/>
      <c r="B87" s="270"/>
      <c r="C87" s="270"/>
      <c r="D87" s="270"/>
      <c r="E87" s="270"/>
      <c r="F87" s="202"/>
      <c r="G87" s="203"/>
      <c r="H87" s="203"/>
      <c r="I87" s="204"/>
      <c r="J87" s="274"/>
    </row>
    <row r="88" spans="1:10" x14ac:dyDescent="0.2">
      <c r="A88" s="202"/>
      <c r="B88" s="270"/>
      <c r="C88" s="270"/>
      <c r="D88" s="270"/>
      <c r="E88" s="270"/>
      <c r="F88" s="202"/>
      <c r="G88" s="203"/>
      <c r="H88" s="203"/>
      <c r="I88" s="204"/>
      <c r="J88" s="274"/>
    </row>
    <row r="89" spans="1:10" x14ac:dyDescent="0.2">
      <c r="A89" s="202"/>
      <c r="B89" s="270"/>
      <c r="C89" s="270"/>
      <c r="D89" s="270"/>
      <c r="E89" s="270"/>
      <c r="F89" s="202"/>
      <c r="G89" s="203"/>
      <c r="H89" s="203"/>
      <c r="I89" s="204"/>
      <c r="J89" s="274"/>
    </row>
    <row r="90" spans="1:10" x14ac:dyDescent="0.2">
      <c r="A90" s="202"/>
      <c r="B90" s="270"/>
      <c r="C90" s="270"/>
      <c r="D90" s="270"/>
      <c r="E90" s="270"/>
      <c r="F90" s="202"/>
      <c r="G90" s="203"/>
      <c r="H90" s="203"/>
      <c r="I90" s="204"/>
      <c r="J90" s="274"/>
    </row>
    <row r="91" spans="1:10" x14ac:dyDescent="0.2">
      <c r="A91" s="202"/>
      <c r="B91" s="270"/>
      <c r="C91" s="270"/>
      <c r="D91" s="270"/>
      <c r="E91" s="270"/>
      <c r="F91" s="202"/>
      <c r="G91" s="203"/>
      <c r="H91" s="203"/>
      <c r="I91" s="204"/>
      <c r="J91" s="274"/>
    </row>
    <row r="92" spans="1:10" x14ac:dyDescent="0.2">
      <c r="A92" s="202"/>
      <c r="B92" s="270"/>
      <c r="C92" s="270"/>
      <c r="D92" s="270"/>
      <c r="E92" s="270"/>
      <c r="F92" s="202"/>
      <c r="G92" s="203"/>
      <c r="H92" s="203"/>
      <c r="I92" s="204"/>
      <c r="J92" s="274"/>
    </row>
    <row r="93" spans="1:10" x14ac:dyDescent="0.2">
      <c r="A93" s="202"/>
      <c r="B93" s="270"/>
      <c r="C93" s="270"/>
      <c r="D93" s="270"/>
      <c r="E93" s="270"/>
      <c r="F93" s="202"/>
      <c r="G93" s="203"/>
      <c r="H93" s="203"/>
      <c r="I93" s="204"/>
      <c r="J93" s="274"/>
    </row>
    <row r="94" spans="1:10" x14ac:dyDescent="0.2">
      <c r="A94" s="202"/>
      <c r="B94" s="270"/>
      <c r="C94" s="270"/>
      <c r="D94" s="270"/>
      <c r="E94" s="270"/>
      <c r="F94" s="202"/>
      <c r="G94" s="203"/>
      <c r="H94" s="203"/>
      <c r="I94" s="204"/>
      <c r="J94" s="274"/>
    </row>
    <row r="95" spans="1:10" x14ac:dyDescent="0.2">
      <c r="A95" s="202"/>
      <c r="B95" s="270"/>
      <c r="C95" s="270"/>
      <c r="D95" s="270"/>
      <c r="E95" s="270"/>
      <c r="F95" s="202"/>
      <c r="G95" s="203"/>
      <c r="H95" s="203"/>
      <c r="I95" s="204"/>
      <c r="J95" s="274"/>
    </row>
    <row r="96" spans="1:10" x14ac:dyDescent="0.2">
      <c r="A96" s="202"/>
      <c r="B96" s="270"/>
      <c r="C96" s="270"/>
      <c r="D96" s="270"/>
      <c r="E96" s="270"/>
      <c r="F96" s="202"/>
      <c r="G96" s="203"/>
      <c r="H96" s="203"/>
      <c r="I96" s="204"/>
      <c r="J96" s="274"/>
    </row>
    <row r="97" spans="1:10" x14ac:dyDescent="0.2">
      <c r="A97" s="202"/>
      <c r="B97" s="270"/>
      <c r="C97" s="270"/>
      <c r="D97" s="270"/>
      <c r="E97" s="270"/>
      <c r="F97" s="202"/>
      <c r="G97" s="203"/>
      <c r="H97" s="203"/>
      <c r="I97" s="204"/>
      <c r="J97" s="274"/>
    </row>
    <row r="98" spans="1:10" x14ac:dyDescent="0.2">
      <c r="A98" s="202"/>
      <c r="B98" s="270"/>
      <c r="C98" s="270"/>
      <c r="D98" s="270"/>
      <c r="E98" s="270"/>
      <c r="F98" s="202"/>
      <c r="G98" s="203"/>
      <c r="H98" s="203"/>
      <c r="I98" s="204"/>
      <c r="J98" s="274"/>
    </row>
    <row r="99" spans="1:10" x14ac:dyDescent="0.2">
      <c r="A99" s="202"/>
      <c r="B99" s="270"/>
      <c r="C99" s="270"/>
      <c r="D99" s="270"/>
      <c r="E99" s="270"/>
      <c r="F99" s="202"/>
      <c r="G99" s="203"/>
      <c r="H99" s="203"/>
      <c r="I99" s="204"/>
      <c r="J99" s="274"/>
    </row>
    <row r="100" spans="1:10" x14ac:dyDescent="0.2">
      <c r="A100" s="202"/>
      <c r="B100" s="270"/>
      <c r="C100" s="270"/>
      <c r="D100" s="270"/>
      <c r="E100" s="270"/>
      <c r="F100" s="202"/>
      <c r="G100" s="203"/>
      <c r="H100" s="203"/>
      <c r="I100" s="204"/>
      <c r="J100" s="274"/>
    </row>
    <row r="101" spans="1:10" x14ac:dyDescent="0.2">
      <c r="A101" s="202"/>
      <c r="B101" s="270"/>
      <c r="C101" s="270"/>
      <c r="D101" s="270"/>
      <c r="E101" s="270"/>
      <c r="F101" s="202"/>
      <c r="G101" s="203"/>
      <c r="H101" s="203"/>
      <c r="I101" s="204"/>
      <c r="J101" s="274"/>
    </row>
    <row r="102" spans="1:10" x14ac:dyDescent="0.2">
      <c r="A102" s="202"/>
      <c r="B102" s="270"/>
      <c r="C102" s="270"/>
      <c r="D102" s="270"/>
      <c r="E102" s="270"/>
      <c r="F102" s="202"/>
      <c r="G102" s="203"/>
      <c r="H102" s="203"/>
      <c r="I102" s="204"/>
      <c r="J102" s="274"/>
    </row>
    <row r="103" spans="1:10" x14ac:dyDescent="0.2">
      <c r="A103" s="202"/>
      <c r="B103" s="270"/>
      <c r="C103" s="270"/>
      <c r="D103" s="270"/>
      <c r="E103" s="270"/>
      <c r="F103" s="202"/>
      <c r="G103" s="203"/>
      <c r="H103" s="203"/>
      <c r="I103" s="204"/>
      <c r="J103" s="274"/>
    </row>
    <row r="104" spans="1:10" x14ac:dyDescent="0.2">
      <c r="A104" s="202"/>
      <c r="B104" s="270"/>
      <c r="C104" s="270"/>
      <c r="D104" s="270"/>
      <c r="E104" s="270"/>
      <c r="F104" s="202"/>
      <c r="G104" s="203"/>
      <c r="H104" s="203"/>
      <c r="I104" s="204"/>
      <c r="J104" s="274"/>
    </row>
    <row r="105" spans="1:10" x14ac:dyDescent="0.2">
      <c r="A105" s="202"/>
      <c r="B105" s="270"/>
      <c r="C105" s="270"/>
      <c r="D105" s="270"/>
      <c r="E105" s="270"/>
      <c r="F105" s="202"/>
      <c r="G105" s="203"/>
      <c r="H105" s="203"/>
      <c r="I105" s="204"/>
      <c r="J105" s="274"/>
    </row>
    <row r="106" spans="1:10" x14ac:dyDescent="0.2">
      <c r="A106" s="202"/>
      <c r="B106" s="270"/>
      <c r="C106" s="270"/>
      <c r="D106" s="270"/>
      <c r="E106" s="270"/>
      <c r="F106" s="202"/>
      <c r="G106" s="203"/>
      <c r="H106" s="203"/>
      <c r="I106" s="204"/>
      <c r="J106" s="274"/>
    </row>
    <row r="107" spans="1:10" x14ac:dyDescent="0.2">
      <c r="A107" s="202"/>
      <c r="B107" s="270"/>
      <c r="C107" s="270"/>
      <c r="D107" s="270"/>
      <c r="E107" s="270"/>
      <c r="F107" s="202"/>
      <c r="G107" s="203"/>
      <c r="H107" s="203"/>
      <c r="I107" s="204"/>
      <c r="J107" s="274"/>
    </row>
    <row r="108" spans="1:10" x14ac:dyDescent="0.2">
      <c r="A108" s="202"/>
      <c r="B108" s="270"/>
      <c r="C108" s="270"/>
      <c r="D108" s="270"/>
      <c r="E108" s="270"/>
      <c r="F108" s="202"/>
      <c r="G108" s="203"/>
      <c r="H108" s="203"/>
      <c r="I108" s="204"/>
      <c r="J108" s="274"/>
    </row>
    <row r="109" spans="1:10" x14ac:dyDescent="0.2">
      <c r="A109" s="202"/>
      <c r="B109" s="270"/>
      <c r="C109" s="270"/>
      <c r="D109" s="270"/>
      <c r="E109" s="270"/>
      <c r="F109" s="202"/>
      <c r="G109" s="203"/>
      <c r="H109" s="203"/>
      <c r="I109" s="204"/>
      <c r="J109" s="274"/>
    </row>
    <row r="110" spans="1:10" x14ac:dyDescent="0.2">
      <c r="A110" s="202"/>
      <c r="B110" s="270"/>
      <c r="C110" s="270"/>
      <c r="D110" s="270"/>
      <c r="E110" s="270"/>
      <c r="F110" s="202"/>
      <c r="G110" s="203"/>
      <c r="H110" s="203"/>
      <c r="I110" s="204"/>
      <c r="J110" s="274"/>
    </row>
    <row r="111" spans="1:10" x14ac:dyDescent="0.2">
      <c r="A111" s="202"/>
      <c r="B111" s="270"/>
      <c r="C111" s="270"/>
      <c r="D111" s="270"/>
      <c r="E111" s="270"/>
      <c r="F111" s="202"/>
      <c r="G111" s="203"/>
      <c r="H111" s="203"/>
      <c r="I111" s="204"/>
      <c r="J111" s="274"/>
    </row>
    <row r="112" spans="1:10" x14ac:dyDescent="0.2">
      <c r="A112" s="202"/>
      <c r="B112" s="270"/>
      <c r="C112" s="270"/>
      <c r="D112" s="270"/>
      <c r="E112" s="270"/>
      <c r="F112" s="202"/>
      <c r="G112" s="203"/>
      <c r="H112" s="203"/>
      <c r="I112" s="204"/>
      <c r="J112" s="274"/>
    </row>
    <row r="113" spans="1:10" x14ac:dyDescent="0.2">
      <c r="A113" s="202"/>
      <c r="B113" s="270"/>
      <c r="C113" s="270"/>
      <c r="D113" s="270"/>
      <c r="E113" s="270"/>
      <c r="F113" s="202"/>
      <c r="G113" s="203"/>
      <c r="H113" s="203"/>
      <c r="I113" s="204"/>
      <c r="J113" s="274"/>
    </row>
    <row r="114" spans="1:10" x14ac:dyDescent="0.2">
      <c r="A114" s="202"/>
      <c r="B114" s="270"/>
      <c r="C114" s="270"/>
      <c r="D114" s="270"/>
      <c r="E114" s="270"/>
      <c r="F114" s="202"/>
      <c r="G114" s="203"/>
      <c r="H114" s="203"/>
      <c r="I114" s="204"/>
      <c r="J114" s="274"/>
    </row>
    <row r="115" spans="1:10" x14ac:dyDescent="0.2">
      <c r="A115" s="202"/>
      <c r="B115" s="270"/>
      <c r="C115" s="270"/>
      <c r="D115" s="270"/>
      <c r="E115" s="270"/>
      <c r="F115" s="202"/>
      <c r="G115" s="203"/>
      <c r="H115" s="203"/>
      <c r="I115" s="204"/>
      <c r="J115" s="274"/>
    </row>
    <row r="116" spans="1:10" x14ac:dyDescent="0.2">
      <c r="A116" s="202"/>
      <c r="B116" s="270"/>
      <c r="C116" s="270"/>
      <c r="D116" s="270"/>
      <c r="E116" s="270"/>
      <c r="F116" s="202"/>
      <c r="G116" s="203"/>
      <c r="H116" s="203"/>
      <c r="I116" s="204"/>
      <c r="J116" s="274"/>
    </row>
    <row r="117" spans="1:10" x14ac:dyDescent="0.2">
      <c r="A117" s="202"/>
      <c r="B117" s="270"/>
      <c r="C117" s="270"/>
      <c r="D117" s="270"/>
      <c r="E117" s="270"/>
      <c r="F117" s="202"/>
      <c r="G117" s="203"/>
      <c r="H117" s="203"/>
      <c r="I117" s="204"/>
      <c r="J117" s="274"/>
    </row>
    <row r="118" spans="1:10" x14ac:dyDescent="0.2">
      <c r="A118" s="202"/>
      <c r="B118" s="270"/>
      <c r="C118" s="270"/>
      <c r="D118" s="270"/>
      <c r="E118" s="270"/>
      <c r="F118" s="202"/>
      <c r="G118" s="203"/>
      <c r="H118" s="203"/>
      <c r="I118" s="204"/>
      <c r="J118" s="274"/>
    </row>
    <row r="119" spans="1:10" x14ac:dyDescent="0.2">
      <c r="A119" s="202"/>
      <c r="B119" s="270"/>
      <c r="C119" s="270"/>
      <c r="D119" s="270"/>
      <c r="E119" s="270"/>
      <c r="F119" s="202"/>
      <c r="G119" s="203"/>
      <c r="H119" s="203"/>
      <c r="I119" s="204"/>
      <c r="J119" s="274"/>
    </row>
    <row r="120" spans="1:10" x14ac:dyDescent="0.2">
      <c r="A120" s="202"/>
      <c r="B120" s="270"/>
      <c r="C120" s="270"/>
      <c r="D120" s="270"/>
      <c r="E120" s="270"/>
      <c r="F120" s="202"/>
      <c r="G120" s="203"/>
      <c r="H120" s="203"/>
      <c r="I120" s="204"/>
      <c r="J120" s="274"/>
    </row>
    <row r="121" spans="1:10" x14ac:dyDescent="0.2">
      <c r="A121" s="202"/>
      <c r="B121" s="270"/>
      <c r="C121" s="270"/>
      <c r="D121" s="270"/>
      <c r="E121" s="270"/>
      <c r="F121" s="202"/>
      <c r="G121" s="203"/>
      <c r="H121" s="203"/>
      <c r="I121" s="204"/>
      <c r="J121" s="274"/>
    </row>
    <row r="122" spans="1:10" x14ac:dyDescent="0.2">
      <c r="A122" s="202"/>
      <c r="B122" s="270"/>
      <c r="C122" s="270"/>
      <c r="D122" s="270"/>
      <c r="E122" s="270"/>
      <c r="F122" s="202"/>
      <c r="G122" s="203"/>
      <c r="H122" s="203"/>
      <c r="I122" s="204"/>
      <c r="J122" s="274"/>
    </row>
    <row r="123" spans="1:10" x14ac:dyDescent="0.2">
      <c r="A123" s="202"/>
      <c r="B123" s="270"/>
      <c r="C123" s="270"/>
      <c r="D123" s="270"/>
      <c r="E123" s="270"/>
      <c r="F123" s="202"/>
      <c r="G123" s="203"/>
      <c r="H123" s="203"/>
      <c r="I123" s="204"/>
      <c r="J123" s="274"/>
    </row>
    <row r="124" spans="1:10" x14ac:dyDescent="0.2">
      <c r="A124" s="202"/>
      <c r="B124" s="270"/>
      <c r="C124" s="270"/>
      <c r="D124" s="270"/>
      <c r="E124" s="270"/>
      <c r="F124" s="202"/>
      <c r="G124" s="203"/>
      <c r="H124" s="203"/>
      <c r="I124" s="204"/>
      <c r="J124" s="274"/>
    </row>
    <row r="125" spans="1:10" x14ac:dyDescent="0.2">
      <c r="A125" s="202"/>
      <c r="B125" s="270"/>
      <c r="C125" s="270"/>
      <c r="D125" s="270"/>
      <c r="E125" s="270"/>
      <c r="F125" s="202"/>
      <c r="G125" s="203"/>
      <c r="H125" s="203"/>
      <c r="I125" s="204"/>
      <c r="J125" s="274"/>
    </row>
    <row r="126" spans="1:10" x14ac:dyDescent="0.2">
      <c r="A126" s="202"/>
      <c r="B126" s="270"/>
      <c r="C126" s="270"/>
      <c r="D126" s="270"/>
      <c r="E126" s="270"/>
      <c r="F126" s="202"/>
      <c r="G126" s="203"/>
      <c r="H126" s="203"/>
      <c r="I126" s="204"/>
      <c r="J126" s="274"/>
    </row>
    <row r="127" spans="1:10" x14ac:dyDescent="0.2">
      <c r="A127" s="202"/>
      <c r="B127" s="270"/>
      <c r="C127" s="270"/>
      <c r="D127" s="270"/>
      <c r="E127" s="270"/>
      <c r="F127" s="202"/>
      <c r="G127" s="203"/>
      <c r="H127" s="203"/>
      <c r="I127" s="204"/>
      <c r="J127" s="274"/>
    </row>
    <row r="128" spans="1:10" x14ac:dyDescent="0.2">
      <c r="A128" s="202"/>
      <c r="B128" s="270"/>
      <c r="C128" s="270"/>
      <c r="D128" s="270"/>
      <c r="E128" s="270"/>
      <c r="F128" s="202"/>
      <c r="G128" s="203"/>
      <c r="H128" s="203"/>
      <c r="I128" s="204"/>
      <c r="J128" s="274"/>
    </row>
    <row r="129" spans="1:10" x14ac:dyDescent="0.2">
      <c r="A129" s="202"/>
      <c r="B129" s="270"/>
      <c r="C129" s="270"/>
      <c r="D129" s="270"/>
      <c r="E129" s="270"/>
      <c r="F129" s="202"/>
      <c r="G129" s="203"/>
      <c r="H129" s="203"/>
      <c r="I129" s="204"/>
      <c r="J129" s="274"/>
    </row>
    <row r="130" spans="1:10" x14ac:dyDescent="0.2">
      <c r="A130" s="202"/>
      <c r="B130" s="270"/>
      <c r="C130" s="270"/>
      <c r="D130" s="270"/>
      <c r="E130" s="270"/>
      <c r="F130" s="202"/>
      <c r="G130" s="203"/>
      <c r="H130" s="203"/>
      <c r="I130" s="204"/>
      <c r="J130" s="274"/>
    </row>
    <row r="131" spans="1:10" x14ac:dyDescent="0.2">
      <c r="A131" s="202"/>
      <c r="B131" s="270"/>
      <c r="C131" s="270"/>
      <c r="D131" s="270"/>
      <c r="E131" s="270"/>
      <c r="F131" s="202"/>
      <c r="G131" s="203"/>
      <c r="H131" s="203"/>
      <c r="I131" s="204"/>
      <c r="J131" s="274"/>
    </row>
    <row r="132" spans="1:10" x14ac:dyDescent="0.2">
      <c r="A132" s="202"/>
      <c r="B132" s="270"/>
      <c r="C132" s="270"/>
      <c r="D132" s="270"/>
      <c r="E132" s="270"/>
      <c r="F132" s="202"/>
      <c r="G132" s="203"/>
      <c r="H132" s="203"/>
      <c r="I132" s="204"/>
      <c r="J132" s="274"/>
    </row>
    <row r="133" spans="1:10" x14ac:dyDescent="0.2">
      <c r="A133" s="202"/>
      <c r="B133" s="270"/>
      <c r="C133" s="270"/>
      <c r="D133" s="270"/>
      <c r="E133" s="270"/>
      <c r="F133" s="202"/>
      <c r="G133" s="203"/>
      <c r="H133" s="203"/>
      <c r="I133" s="204"/>
      <c r="J133" s="274"/>
    </row>
    <row r="134" spans="1:10" x14ac:dyDescent="0.2">
      <c r="A134" s="202"/>
      <c r="B134" s="270"/>
      <c r="C134" s="270"/>
      <c r="D134" s="270"/>
      <c r="E134" s="270"/>
      <c r="F134" s="202"/>
      <c r="G134" s="203"/>
      <c r="H134" s="203"/>
      <c r="I134" s="204"/>
      <c r="J134" s="274"/>
    </row>
    <row r="135" spans="1:10" x14ac:dyDescent="0.2">
      <c r="A135" s="202"/>
      <c r="B135" s="270"/>
      <c r="C135" s="270"/>
      <c r="D135" s="270"/>
      <c r="E135" s="270"/>
      <c r="F135" s="202"/>
      <c r="G135" s="203"/>
      <c r="H135" s="203"/>
      <c r="I135" s="204"/>
      <c r="J135" s="274"/>
    </row>
    <row r="136" spans="1:10" x14ac:dyDescent="0.2">
      <c r="A136" s="202"/>
      <c r="B136" s="270"/>
      <c r="C136" s="270"/>
      <c r="D136" s="270"/>
      <c r="E136" s="270"/>
      <c r="F136" s="202"/>
      <c r="G136" s="203"/>
      <c r="H136" s="203"/>
      <c r="I136" s="204"/>
      <c r="J136" s="274"/>
    </row>
    <row r="137" spans="1:10" x14ac:dyDescent="0.2">
      <c r="A137" s="202"/>
      <c r="B137" s="270"/>
      <c r="C137" s="270"/>
      <c r="D137" s="270"/>
      <c r="E137" s="270"/>
      <c r="F137" s="202"/>
      <c r="G137" s="203"/>
      <c r="H137" s="203"/>
      <c r="I137" s="204"/>
      <c r="J137" s="274"/>
    </row>
    <row r="138" spans="1:10" x14ac:dyDescent="0.2">
      <c r="A138" s="202"/>
      <c r="B138" s="270"/>
      <c r="C138" s="270"/>
      <c r="D138" s="270"/>
      <c r="E138" s="270"/>
      <c r="F138" s="202"/>
      <c r="G138" s="203"/>
      <c r="H138" s="203"/>
      <c r="I138" s="204"/>
      <c r="J138" s="274"/>
    </row>
    <row r="139" spans="1:10" x14ac:dyDescent="0.2">
      <c r="A139" s="202"/>
      <c r="B139" s="270"/>
      <c r="C139" s="270"/>
      <c r="D139" s="270"/>
      <c r="E139" s="270"/>
      <c r="F139" s="202"/>
      <c r="G139" s="203"/>
      <c r="H139" s="203"/>
      <c r="I139" s="204"/>
      <c r="J139" s="274"/>
    </row>
    <row r="140" spans="1:10" x14ac:dyDescent="0.2">
      <c r="A140" s="202"/>
      <c r="B140" s="270"/>
      <c r="C140" s="270"/>
      <c r="D140" s="270"/>
      <c r="E140" s="270"/>
      <c r="F140" s="202"/>
      <c r="G140" s="203"/>
      <c r="H140" s="203"/>
      <c r="I140" s="204"/>
      <c r="J140" s="274"/>
    </row>
    <row r="141" spans="1:10" ht="16" x14ac:dyDescent="0.2">
      <c r="A141" s="205"/>
      <c r="B141" s="206"/>
      <c r="C141" s="206"/>
      <c r="D141" s="206"/>
      <c r="E141" s="206"/>
      <c r="F141" s="207"/>
      <c r="G141" s="208">
        <f>SUBTOTAL(109,'Internal Transfer'!$G$13:$G$140)</f>
        <v>666800</v>
      </c>
      <c r="H141" s="208">
        <f>SUBTOTAL(109,'Internal Transfer'!$H$13:$H$140)</f>
        <v>669050</v>
      </c>
      <c r="I141" s="209"/>
    </row>
  </sheetData>
  <sheetProtection sheet="1" objects="1" scenarios="1" selectLockedCells="1"/>
  <mergeCells count="2">
    <mergeCell ref="A1:A2"/>
    <mergeCell ref="B1:H1"/>
  </mergeCells>
  <conditionalFormatting sqref="A3:A9">
    <cfRule type="cellIs" dxfId="8" priority="1" operator="equal">
      <formula>0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DCC8C4A-C5CE-4121-AAF2-46D91F4D36BD}">
          <x14:formula1>
            <xm:f>'Data Source'!$B$6:$B$9</xm:f>
          </x14:formula1>
          <xm:sqref>A13:A140</xm:sqref>
        </x14:dataValidation>
        <x14:dataValidation type="list" allowBlank="1" showInputMessage="1" showErrorMessage="1" xr:uid="{B6A60EF8-9772-449E-A887-A830E9092D1F}">
          <x14:formula1>
            <xm:f>'Data Source'!$A$6:$A$9</xm:f>
          </x14:formula1>
          <xm:sqref>F13:F140</xm:sqref>
        </x14:dataValidation>
        <x14:dataValidation type="list" allowBlank="1" showInputMessage="1" showErrorMessage="1" xr:uid="{70F77928-7EB8-42E7-A332-7934C02B4044}">
          <x14:formula1>
            <xm:f>'Data Source'!$C$6:$C$9</xm:f>
          </x14:formula1>
          <xm:sqref>I13:J140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4BA12-573D-4565-BB83-C52A07FD8283}">
  <sheetPr codeName="Sheet8"/>
  <dimension ref="A1:K71"/>
  <sheetViews>
    <sheetView workbookViewId="0">
      <selection activeCell="A45" sqref="A45"/>
    </sheetView>
  </sheetViews>
  <sheetFormatPr baseColWidth="10" defaultColWidth="8.83203125" defaultRowHeight="15" x14ac:dyDescent="0.2"/>
  <cols>
    <col min="1" max="1" width="17.33203125" bestFit="1" customWidth="1"/>
    <col min="2" max="2" width="14.1640625" bestFit="1" customWidth="1"/>
    <col min="3" max="3" width="13.5" bestFit="1" customWidth="1"/>
    <col min="4" max="4" width="12" bestFit="1" customWidth="1"/>
    <col min="5" max="5" width="10" bestFit="1" customWidth="1"/>
    <col min="6" max="6" width="13.5" bestFit="1" customWidth="1"/>
    <col min="7" max="7" width="12.5" bestFit="1" customWidth="1"/>
    <col min="8" max="8" width="11" bestFit="1" customWidth="1"/>
    <col min="9" max="9" width="10" bestFit="1" customWidth="1"/>
    <col min="10" max="10" width="14.5" bestFit="1" customWidth="1"/>
    <col min="11" max="11" width="12" bestFit="1" customWidth="1"/>
    <col min="17" max="17" width="12.1640625" bestFit="1" customWidth="1"/>
  </cols>
  <sheetData>
    <row r="1" spans="1:11" ht="26" thickBot="1" x14ac:dyDescent="0.3">
      <c r="A1" s="306" t="s">
        <v>218</v>
      </c>
      <c r="B1" s="307"/>
      <c r="C1" s="307"/>
      <c r="D1" s="307"/>
      <c r="E1" s="307"/>
      <c r="F1" s="307"/>
      <c r="G1" s="307"/>
      <c r="H1" s="307"/>
      <c r="I1" s="307"/>
      <c r="J1" s="307"/>
      <c r="K1" s="308"/>
    </row>
    <row r="2" spans="1:11" ht="21" thickBot="1" x14ac:dyDescent="0.25">
      <c r="A2" s="309" t="s">
        <v>36</v>
      </c>
      <c r="B2" s="311" t="s">
        <v>21</v>
      </c>
      <c r="C2" s="312"/>
      <c r="D2" s="312"/>
      <c r="E2" s="312"/>
      <c r="F2" s="313"/>
      <c r="G2" s="311" t="s">
        <v>107</v>
      </c>
      <c r="H2" s="312"/>
      <c r="I2" s="312"/>
      <c r="J2" s="312"/>
      <c r="K2" s="313"/>
    </row>
    <row r="3" spans="1:11" ht="16" thickBot="1" x14ac:dyDescent="0.25">
      <c r="A3" s="361"/>
      <c r="B3" s="31" t="str">
        <f>'Data Source'!A6</f>
        <v>Annuity</v>
      </c>
      <c r="C3" s="32" t="str">
        <f>'Data Source'!A7</f>
        <v>AUM</v>
      </c>
      <c r="D3" s="32" t="str">
        <f>'Data Source'!A8</f>
        <v>Life</v>
      </c>
      <c r="E3" s="33" t="str">
        <f>'Data Source'!A9</f>
        <v>Med Supp</v>
      </c>
      <c r="F3" s="78" t="s">
        <v>25</v>
      </c>
      <c r="G3" s="11" t="s">
        <v>65</v>
      </c>
      <c r="H3" s="12" t="s">
        <v>64</v>
      </c>
      <c r="I3" s="12" t="s">
        <v>66</v>
      </c>
      <c r="J3" s="12" t="s">
        <v>67</v>
      </c>
      <c r="K3" s="45" t="s">
        <v>108</v>
      </c>
    </row>
    <row r="4" spans="1:11" x14ac:dyDescent="0.2">
      <c r="A4" s="77" t="str">
        <f>'Data Source'!D6</f>
        <v>College Course</v>
      </c>
      <c r="B4" s="19">
        <f>SUMIFS('2023 Business Log'!$N$3:$N$157,'2023 Business Log'!$D$3:$D$157,$B$3,'2023 Business Log'!$S$3:$S$157,A4)</f>
        <v>0</v>
      </c>
      <c r="C4" s="20">
        <f>SUMIFS('2023 Business Log'!$N$3:$N$157,'2023 Business Log'!$D$3:$D$157,$C$3,'2023 Business Log'!$S$3:$S$157,A4)</f>
        <v>0</v>
      </c>
      <c r="D4" s="20">
        <f>SUMIFS('2023 Business Log'!$N$3:$N$157,'2023 Business Log'!$D$3:$D$157,$D$3,'2023 Business Log'!$S$3:$S$157,A4)</f>
        <v>30000</v>
      </c>
      <c r="E4" s="24">
        <f>SUMIFS('2023 Business Log'!$N$3:$N$157,'2023 Business Log'!$D$3:$D$157,$E$3,'2023 Business Log'!$S$3:$S$157,A4)</f>
        <v>0</v>
      </c>
      <c r="F4" s="34">
        <f>SUM(B4:E4)</f>
        <v>30000</v>
      </c>
      <c r="G4" s="21">
        <f>B4*0.06</f>
        <v>0</v>
      </c>
      <c r="H4" s="22">
        <f>C4*0.01</f>
        <v>0</v>
      </c>
      <c r="I4" s="22">
        <f>D4*0.06</f>
        <v>1800</v>
      </c>
      <c r="J4" s="23">
        <f>E4*0.2</f>
        <v>0</v>
      </c>
      <c r="K4" s="195">
        <f>SUM(G4:J4)</f>
        <v>1800</v>
      </c>
    </row>
    <row r="5" spans="1:11" x14ac:dyDescent="0.2">
      <c r="A5" s="77" t="str">
        <f>'Data Source'!D7</f>
        <v>Existing Client</v>
      </c>
      <c r="B5" s="19">
        <f>SUMIFS('2023 Business Log'!$N$3:$N$157,'2023 Business Log'!$D$3:$D$157,$B$3,'2023 Business Log'!$S$3:$S$157,A5)</f>
        <v>50000</v>
      </c>
      <c r="C5" s="20">
        <f>SUMIFS('2023 Business Log'!$N$3:$N$157,'2023 Business Log'!$D$3:$D$157,$C$3,'2023 Business Log'!$S$3:$S$157,A5)</f>
        <v>0</v>
      </c>
      <c r="D5" s="20">
        <f>SUMIFS('2023 Business Log'!$N$3:$N$157,'2023 Business Log'!$D$3:$D$157,$D$3,'2023 Business Log'!$S$3:$S$157,A5)</f>
        <v>0</v>
      </c>
      <c r="E5" s="24">
        <f>SUMIFS('2023 Business Log'!$N$3:$N$157,'2023 Business Log'!$D$3:$D$157,$E$3,'2023 Business Log'!$S$3:$S$157,A5)</f>
        <v>0</v>
      </c>
      <c r="F5" s="34">
        <f t="shared" ref="F5:F27" si="0">SUM(B5:E5)</f>
        <v>50000</v>
      </c>
      <c r="G5" s="19">
        <f t="shared" ref="G5:G27" si="1">B5*0.06</f>
        <v>3000</v>
      </c>
      <c r="H5" s="20">
        <f t="shared" ref="H5:H27" si="2">C5*0.01</f>
        <v>0</v>
      </c>
      <c r="I5" s="20">
        <f t="shared" ref="I5:I27" si="3">D5*0.06</f>
        <v>0</v>
      </c>
      <c r="J5" s="24">
        <f t="shared" ref="J5:J27" si="4">E5*0.2</f>
        <v>0</v>
      </c>
      <c r="K5" s="196">
        <f t="shared" ref="K5:K27" si="5">SUM(G5:J5)</f>
        <v>3000</v>
      </c>
    </row>
    <row r="6" spans="1:11" x14ac:dyDescent="0.2">
      <c r="A6" s="77" t="str">
        <f>'Data Source'!D8</f>
        <v>Radio-ABC</v>
      </c>
      <c r="B6" s="19">
        <f>SUMIFS('2023 Business Log'!$N$3:$N$157,'2023 Business Log'!$D$3:$D$157,$B$3,'2023 Business Log'!$S$3:$S$157,A6)</f>
        <v>375000</v>
      </c>
      <c r="C6" s="20">
        <f>SUMIFS('2023 Business Log'!$N$3:$N$157,'2023 Business Log'!$D$3:$D$157,$C$3,'2023 Business Log'!$S$3:$S$157,A6)</f>
        <v>50000</v>
      </c>
      <c r="D6" s="20">
        <f>SUMIFS('2023 Business Log'!$N$3:$N$157,'2023 Business Log'!$D$3:$D$157,$D$3,'2023 Business Log'!$S$3:$S$157,A6)</f>
        <v>0</v>
      </c>
      <c r="E6" s="24">
        <f>SUMIFS('2023 Business Log'!$N$3:$N$157,'2023 Business Log'!$D$3:$D$157,$E$3,'2023 Business Log'!$S$3:$S$157,A6)</f>
        <v>0</v>
      </c>
      <c r="F6" s="34">
        <f t="shared" si="0"/>
        <v>425000</v>
      </c>
      <c r="G6" s="19">
        <f t="shared" si="1"/>
        <v>22500</v>
      </c>
      <c r="H6" s="20">
        <f t="shared" si="2"/>
        <v>500</v>
      </c>
      <c r="I6" s="20">
        <f t="shared" si="3"/>
        <v>0</v>
      </c>
      <c r="J6" s="24">
        <f t="shared" si="4"/>
        <v>0</v>
      </c>
      <c r="K6" s="196">
        <f t="shared" si="5"/>
        <v>23000</v>
      </c>
    </row>
    <row r="7" spans="1:11" x14ac:dyDescent="0.2">
      <c r="A7" s="77" t="str">
        <f>'Data Source'!D9</f>
        <v>Radio-DEF</v>
      </c>
      <c r="B7" s="19">
        <f>SUMIFS('2023 Business Log'!$N$3:$N$157,'2023 Business Log'!$D$3:$D$157,$B$3,'2023 Business Log'!$S$3:$S$157,A7)</f>
        <v>0</v>
      </c>
      <c r="C7" s="20">
        <f>SUMIFS('2023 Business Log'!$N$3:$N$157,'2023 Business Log'!$D$3:$D$157,$C$3,'2023 Business Log'!$S$3:$S$157,A7)</f>
        <v>500000</v>
      </c>
      <c r="D7" s="20">
        <f>SUMIFS('2023 Business Log'!$N$3:$N$157,'2023 Business Log'!$D$3:$D$157,$D$3,'2023 Business Log'!$S$3:$S$157,A7)</f>
        <v>20000</v>
      </c>
      <c r="E7" s="24">
        <f>SUMIFS('2023 Business Log'!$N$3:$N$157,'2023 Business Log'!$D$3:$D$157,$E$3,'2023 Business Log'!$S$3:$S$157,A7)</f>
        <v>0</v>
      </c>
      <c r="F7" s="34">
        <f t="shared" si="0"/>
        <v>520000</v>
      </c>
      <c r="G7" s="19">
        <f t="shared" si="1"/>
        <v>0</v>
      </c>
      <c r="H7" s="20">
        <f t="shared" si="2"/>
        <v>5000</v>
      </c>
      <c r="I7" s="20">
        <f t="shared" si="3"/>
        <v>1200</v>
      </c>
      <c r="J7" s="24">
        <f t="shared" si="4"/>
        <v>0</v>
      </c>
      <c r="K7" s="196">
        <f t="shared" si="5"/>
        <v>6200</v>
      </c>
    </row>
    <row r="8" spans="1:11" x14ac:dyDescent="0.2">
      <c r="A8" s="77" t="str">
        <f>'Data Source'!D10</f>
        <v>Radio-LMNOP</v>
      </c>
      <c r="B8" s="19">
        <f>SUMIFS('2023 Business Log'!$N$3:$N$157,'2023 Business Log'!$D$3:$D$157,$B$3,'2023 Business Log'!$S$3:$S$157,A8)</f>
        <v>0</v>
      </c>
      <c r="C8" s="20">
        <f>SUMIFS('2023 Business Log'!$N$3:$N$157,'2023 Business Log'!$D$3:$D$157,$C$3,'2023 Business Log'!$S$3:$S$157,A8)</f>
        <v>930000</v>
      </c>
      <c r="D8" s="20">
        <f>SUMIFS('2023 Business Log'!$N$3:$N$157,'2023 Business Log'!$D$3:$D$157,$D$3,'2023 Business Log'!$S$3:$S$157,A8)</f>
        <v>0</v>
      </c>
      <c r="E8" s="24">
        <f>SUMIFS('2023 Business Log'!$N$3:$N$157,'2023 Business Log'!$D$3:$D$157,$E$3,'2023 Business Log'!$S$3:$S$157,A8)</f>
        <v>0</v>
      </c>
      <c r="F8" s="34">
        <f t="shared" si="0"/>
        <v>930000</v>
      </c>
      <c r="G8" s="19">
        <f t="shared" si="1"/>
        <v>0</v>
      </c>
      <c r="H8" s="20">
        <f t="shared" si="2"/>
        <v>9300</v>
      </c>
      <c r="I8" s="20">
        <f t="shared" si="3"/>
        <v>0</v>
      </c>
      <c r="J8" s="24">
        <f t="shared" si="4"/>
        <v>0</v>
      </c>
      <c r="K8" s="196">
        <f t="shared" si="5"/>
        <v>9300</v>
      </c>
    </row>
    <row r="9" spans="1:11" x14ac:dyDescent="0.2">
      <c r="A9" s="77" t="str">
        <f>'Data Source'!D11</f>
        <v>Radio-Unknown</v>
      </c>
      <c r="B9" s="19">
        <f>SUMIFS('2023 Business Log'!$N$3:$N$157,'2023 Business Log'!$D$3:$D$157,$B$3,'2023 Business Log'!$S$3:$S$157,A9)</f>
        <v>125000</v>
      </c>
      <c r="C9" s="20">
        <f>SUMIFS('2023 Business Log'!$N$3:$N$157,'2023 Business Log'!$D$3:$D$157,$C$3,'2023 Business Log'!$S$3:$S$157,A9)</f>
        <v>0</v>
      </c>
      <c r="D9" s="20">
        <f>SUMIFS('2023 Business Log'!$N$3:$N$157,'2023 Business Log'!$D$3:$D$157,$D$3,'2023 Business Log'!$S$3:$S$157,A9)</f>
        <v>0</v>
      </c>
      <c r="E9" s="24">
        <f>SUMIFS('2023 Business Log'!$N$3:$N$157,'2023 Business Log'!$D$3:$D$157,$E$3,'2023 Business Log'!$S$3:$S$157,A9)</f>
        <v>505.25</v>
      </c>
      <c r="F9" s="34">
        <f t="shared" si="0"/>
        <v>125505.25</v>
      </c>
      <c r="G9" s="19">
        <f t="shared" si="1"/>
        <v>7500</v>
      </c>
      <c r="H9" s="20">
        <f t="shared" si="2"/>
        <v>0</v>
      </c>
      <c r="I9" s="20">
        <f t="shared" si="3"/>
        <v>0</v>
      </c>
      <c r="J9" s="24">
        <f t="shared" si="4"/>
        <v>101.05000000000001</v>
      </c>
      <c r="K9" s="196">
        <f t="shared" si="5"/>
        <v>7601.05</v>
      </c>
    </row>
    <row r="10" spans="1:11" x14ac:dyDescent="0.2">
      <c r="A10" s="77" t="str">
        <f>'Data Source'!D12</f>
        <v>Radio-XYZ</v>
      </c>
      <c r="B10" s="19">
        <f>SUMIFS('2023 Business Log'!$N$3:$N$157,'2023 Business Log'!$D$3:$D$157,$B$3,'2023 Business Log'!$S$3:$S$157,A10)</f>
        <v>50000</v>
      </c>
      <c r="C10" s="20">
        <f>SUMIFS('2023 Business Log'!$N$3:$N$157,'2023 Business Log'!$D$3:$D$157,$C$3,'2023 Business Log'!$S$3:$S$157,A10)</f>
        <v>0</v>
      </c>
      <c r="D10" s="20">
        <f>SUMIFS('2023 Business Log'!$N$3:$N$157,'2023 Business Log'!$D$3:$D$157,$D$3,'2023 Business Log'!$S$3:$S$157,A10)</f>
        <v>0</v>
      </c>
      <c r="E10" s="24">
        <f>SUMIFS('2023 Business Log'!$N$3:$N$157,'2023 Business Log'!$D$3:$D$157,$E$3,'2023 Business Log'!$S$3:$S$157,A10)</f>
        <v>500</v>
      </c>
      <c r="F10" s="34">
        <f t="shared" si="0"/>
        <v>50500</v>
      </c>
      <c r="G10" s="19">
        <f t="shared" si="1"/>
        <v>3000</v>
      </c>
      <c r="H10" s="20">
        <f t="shared" si="2"/>
        <v>0</v>
      </c>
      <c r="I10" s="20">
        <f t="shared" si="3"/>
        <v>0</v>
      </c>
      <c r="J10" s="24">
        <f t="shared" si="4"/>
        <v>100</v>
      </c>
      <c r="K10" s="196">
        <f t="shared" si="5"/>
        <v>3100</v>
      </c>
    </row>
    <row r="11" spans="1:11" x14ac:dyDescent="0.2">
      <c r="A11" s="77" t="str">
        <f>'Data Source'!D13</f>
        <v>Referral</v>
      </c>
      <c r="B11" s="19">
        <f>SUMIFS('2023 Business Log'!$N$3:$N$157,'2023 Business Log'!$D$3:$D$157,$B$3,'2023 Business Log'!$S$3:$S$157,A11)</f>
        <v>0</v>
      </c>
      <c r="C11" s="20">
        <f>SUMIFS('2023 Business Log'!$N$3:$N$157,'2023 Business Log'!$D$3:$D$157,$C$3,'2023 Business Log'!$S$3:$S$157,A11)</f>
        <v>1500000</v>
      </c>
      <c r="D11" s="20">
        <f>SUMIFS('2023 Business Log'!$N$3:$N$157,'2023 Business Log'!$D$3:$D$157,$D$3,'2023 Business Log'!$S$3:$S$157,A11)</f>
        <v>28000</v>
      </c>
      <c r="E11" s="24">
        <f>SUMIFS('2023 Business Log'!$N$3:$N$157,'2023 Business Log'!$D$3:$D$157,$E$3,'2023 Business Log'!$S$3:$S$157,A11)</f>
        <v>0</v>
      </c>
      <c r="F11" s="34">
        <f t="shared" si="0"/>
        <v>1528000</v>
      </c>
      <c r="G11" s="19">
        <f t="shared" si="1"/>
        <v>0</v>
      </c>
      <c r="H11" s="20">
        <f t="shared" si="2"/>
        <v>15000</v>
      </c>
      <c r="I11" s="20">
        <f t="shared" si="3"/>
        <v>1680</v>
      </c>
      <c r="J11" s="24">
        <f t="shared" si="4"/>
        <v>0</v>
      </c>
      <c r="K11" s="196">
        <f t="shared" si="5"/>
        <v>16680</v>
      </c>
    </row>
    <row r="12" spans="1:11" x14ac:dyDescent="0.2">
      <c r="A12" s="77" t="str">
        <f>'Data Source'!D14</f>
        <v>Seminar-Hammond</v>
      </c>
      <c r="B12" s="19">
        <f>SUMIFS('2023 Business Log'!$N$3:$N$157,'2023 Business Log'!$D$3:$D$157,$B$3,'2023 Business Log'!$S$3:$S$157,A12)</f>
        <v>0</v>
      </c>
      <c r="C12" s="20">
        <f>SUMIFS('2023 Business Log'!$N$3:$N$157,'2023 Business Log'!$D$3:$D$157,$C$3,'2023 Business Log'!$S$3:$S$157,A12)</f>
        <v>0</v>
      </c>
      <c r="D12" s="20">
        <f>SUMIFS('2023 Business Log'!$N$3:$N$157,'2023 Business Log'!$D$3:$D$157,$D$3,'2023 Business Log'!$S$3:$S$157,A12)</f>
        <v>0</v>
      </c>
      <c r="E12" s="24">
        <f>SUMIFS('2023 Business Log'!$N$3:$N$157,'2023 Business Log'!$D$3:$D$157,$E$3,'2023 Business Log'!$S$3:$S$157,A12)</f>
        <v>0</v>
      </c>
      <c r="F12" s="34">
        <f t="shared" si="0"/>
        <v>0</v>
      </c>
      <c r="G12" s="19">
        <f t="shared" si="1"/>
        <v>0</v>
      </c>
      <c r="H12" s="20">
        <f t="shared" si="2"/>
        <v>0</v>
      </c>
      <c r="I12" s="20">
        <f t="shared" si="3"/>
        <v>0</v>
      </c>
      <c r="J12" s="24">
        <f t="shared" si="4"/>
        <v>0</v>
      </c>
      <c r="K12" s="196">
        <f t="shared" si="5"/>
        <v>0</v>
      </c>
    </row>
    <row r="13" spans="1:11" x14ac:dyDescent="0.2">
      <c r="A13" s="77" t="str">
        <f>'Data Source'!D15</f>
        <v>Seminar-Heathman</v>
      </c>
      <c r="B13" s="19">
        <f>SUMIFS('2023 Business Log'!$N$3:$N$157,'2023 Business Log'!$D$3:$D$157,$B$3,'2023 Business Log'!$S$3:$S$157,A13)</f>
        <v>200000</v>
      </c>
      <c r="C13" s="20">
        <f>SUMIFS('2023 Business Log'!$N$3:$N$157,'2023 Business Log'!$D$3:$D$157,$C$3,'2023 Business Log'!$S$3:$S$157,A13)</f>
        <v>0</v>
      </c>
      <c r="D13" s="20">
        <f>SUMIFS('2023 Business Log'!$N$3:$N$157,'2023 Business Log'!$D$3:$D$157,$D$3,'2023 Business Log'!$S$3:$S$157,A13)</f>
        <v>0</v>
      </c>
      <c r="E13" s="24">
        <f>SUMIFS('2023 Business Log'!$N$3:$N$157,'2023 Business Log'!$D$3:$D$157,$E$3,'2023 Business Log'!$S$3:$S$157,A13)</f>
        <v>0</v>
      </c>
      <c r="F13" s="34">
        <f t="shared" si="0"/>
        <v>200000</v>
      </c>
      <c r="G13" s="19">
        <f t="shared" si="1"/>
        <v>12000</v>
      </c>
      <c r="H13" s="20">
        <f t="shared" si="2"/>
        <v>0</v>
      </c>
      <c r="I13" s="20">
        <f t="shared" si="3"/>
        <v>0</v>
      </c>
      <c r="J13" s="24">
        <f t="shared" si="4"/>
        <v>0</v>
      </c>
      <c r="K13" s="196">
        <f t="shared" si="5"/>
        <v>12000</v>
      </c>
    </row>
    <row r="14" spans="1:11" x14ac:dyDescent="0.2">
      <c r="A14" s="77" t="str">
        <f>'Data Source'!D16</f>
        <v>Seminar-Lapellah</v>
      </c>
      <c r="B14" s="19">
        <f>SUMIFS('2023 Business Log'!$N$3:$N$157,'2023 Business Log'!$D$3:$D$157,$B$3,'2023 Business Log'!$S$3:$S$157,A14)</f>
        <v>535000</v>
      </c>
      <c r="C14" s="20">
        <f>SUMIFS('2023 Business Log'!$N$3:$N$157,'2023 Business Log'!$D$3:$D$157,$C$3,'2023 Business Log'!$S$3:$S$157,A14)</f>
        <v>600000</v>
      </c>
      <c r="D14" s="20">
        <f>SUMIFS('2023 Business Log'!$N$3:$N$157,'2023 Business Log'!$D$3:$D$157,$D$3,'2023 Business Log'!$S$3:$S$157,A14)</f>
        <v>0</v>
      </c>
      <c r="E14" s="24">
        <f>SUMIFS('2023 Business Log'!$N$3:$N$157,'2023 Business Log'!$D$3:$D$157,$E$3,'2023 Business Log'!$S$3:$S$157,A14)</f>
        <v>0</v>
      </c>
      <c r="F14" s="34">
        <f t="shared" si="0"/>
        <v>1135000</v>
      </c>
      <c r="G14" s="19">
        <f t="shared" si="1"/>
        <v>32100</v>
      </c>
      <c r="H14" s="20">
        <f t="shared" si="2"/>
        <v>6000</v>
      </c>
      <c r="I14" s="20">
        <f t="shared" si="3"/>
        <v>0</v>
      </c>
      <c r="J14" s="24">
        <f t="shared" si="4"/>
        <v>0</v>
      </c>
      <c r="K14" s="196">
        <f t="shared" si="5"/>
        <v>38100</v>
      </c>
    </row>
    <row r="15" spans="1:11" x14ac:dyDescent="0.2">
      <c r="A15" s="77" t="str">
        <f>'Data Source'!D17</f>
        <v>Seminar-M&amp;S</v>
      </c>
      <c r="B15" s="19">
        <f>SUMIFS('2023 Business Log'!$N$3:$N$157,'2023 Business Log'!$D$3:$D$157,$B$3,'2023 Business Log'!$S$3:$S$157,A15)</f>
        <v>0</v>
      </c>
      <c r="C15" s="20">
        <f>SUMIFS('2023 Business Log'!$N$3:$N$157,'2023 Business Log'!$D$3:$D$157,$C$3,'2023 Business Log'!$S$3:$S$157,A15)</f>
        <v>50000</v>
      </c>
      <c r="D15" s="20">
        <f>SUMIFS('2023 Business Log'!$N$3:$N$157,'2023 Business Log'!$D$3:$D$157,$D$3,'2023 Business Log'!$S$3:$S$157,A15)</f>
        <v>15125</v>
      </c>
      <c r="E15" s="24">
        <f>SUMIFS('2023 Business Log'!$N$3:$N$157,'2023 Business Log'!$D$3:$D$157,$E$3,'2023 Business Log'!$S$3:$S$157,A15)</f>
        <v>0</v>
      </c>
      <c r="F15" s="34">
        <f t="shared" si="0"/>
        <v>65125</v>
      </c>
      <c r="G15" s="19">
        <f t="shared" si="1"/>
        <v>0</v>
      </c>
      <c r="H15" s="20">
        <f t="shared" si="2"/>
        <v>500</v>
      </c>
      <c r="I15" s="20">
        <f t="shared" si="3"/>
        <v>907.5</v>
      </c>
      <c r="J15" s="24">
        <f t="shared" si="4"/>
        <v>0</v>
      </c>
      <c r="K15" s="196">
        <f t="shared" si="5"/>
        <v>1407.5</v>
      </c>
    </row>
    <row r="16" spans="1:11" x14ac:dyDescent="0.2">
      <c r="A16" s="77" t="str">
        <f>'Data Source'!D18</f>
        <v>Seminar-Morton's</v>
      </c>
      <c r="B16" s="19">
        <f>SUMIFS('2023 Business Log'!$N$3:$N$157,'2023 Business Log'!$D$3:$D$157,$B$3,'2023 Business Log'!$S$3:$S$157,A16)</f>
        <v>200000</v>
      </c>
      <c r="C16" s="20">
        <f>SUMIFS('2023 Business Log'!$N$3:$N$157,'2023 Business Log'!$D$3:$D$157,$C$3,'2023 Business Log'!$S$3:$S$157,A16)</f>
        <v>0</v>
      </c>
      <c r="D16" s="20">
        <f>SUMIFS('2023 Business Log'!$N$3:$N$157,'2023 Business Log'!$D$3:$D$157,$D$3,'2023 Business Log'!$S$3:$S$157,A16)</f>
        <v>0</v>
      </c>
      <c r="E16" s="24">
        <f>SUMIFS('2023 Business Log'!$N$3:$N$157,'2023 Business Log'!$D$3:$D$157,$E$3,'2023 Business Log'!$S$3:$S$157,A16)</f>
        <v>0</v>
      </c>
      <c r="F16" s="34">
        <f t="shared" si="0"/>
        <v>200000</v>
      </c>
      <c r="G16" s="19">
        <f t="shared" si="1"/>
        <v>12000</v>
      </c>
      <c r="H16" s="20">
        <f t="shared" si="2"/>
        <v>0</v>
      </c>
      <c r="I16" s="20">
        <f t="shared" si="3"/>
        <v>0</v>
      </c>
      <c r="J16" s="24">
        <f t="shared" si="4"/>
        <v>0</v>
      </c>
      <c r="K16" s="196">
        <f t="shared" si="5"/>
        <v>12000</v>
      </c>
    </row>
    <row r="17" spans="1:11" x14ac:dyDescent="0.2">
      <c r="A17" s="77" t="str">
        <f>'Data Source'!D19</f>
        <v>Seminar-RuthsChris</v>
      </c>
      <c r="B17" s="19">
        <f>SUMIFS('2023 Business Log'!$N$3:$N$157,'2023 Business Log'!$D$3:$D$157,$B$3,'2023 Business Log'!$S$3:$S$157,A17)</f>
        <v>0</v>
      </c>
      <c r="C17" s="20">
        <f>SUMIFS('2023 Business Log'!$N$3:$N$157,'2023 Business Log'!$D$3:$D$157,$C$3,'2023 Business Log'!$S$3:$S$157,A17)</f>
        <v>75000</v>
      </c>
      <c r="D17" s="20">
        <f>SUMIFS('2023 Business Log'!$N$3:$N$157,'2023 Business Log'!$D$3:$D$157,$D$3,'2023 Business Log'!$S$3:$S$157,A17)</f>
        <v>0</v>
      </c>
      <c r="E17" s="24">
        <f>SUMIFS('2023 Business Log'!$N$3:$N$157,'2023 Business Log'!$D$3:$D$157,$E$3,'2023 Business Log'!$S$3:$S$157,A17)</f>
        <v>0</v>
      </c>
      <c r="F17" s="34">
        <f t="shared" si="0"/>
        <v>75000</v>
      </c>
      <c r="G17" s="19">
        <f t="shared" si="1"/>
        <v>0</v>
      </c>
      <c r="H17" s="20">
        <f t="shared" si="2"/>
        <v>750</v>
      </c>
      <c r="I17" s="20">
        <f t="shared" si="3"/>
        <v>0</v>
      </c>
      <c r="J17" s="24">
        <f t="shared" si="4"/>
        <v>0</v>
      </c>
      <c r="K17" s="196">
        <f t="shared" si="5"/>
        <v>750</v>
      </c>
    </row>
    <row r="18" spans="1:11" x14ac:dyDescent="0.2">
      <c r="A18" s="77" t="str">
        <f>'Data Source'!D20</f>
        <v>Seminar-Salty's</v>
      </c>
      <c r="B18" s="19">
        <f>SUMIFS('2023 Business Log'!$N$3:$N$157,'2023 Business Log'!$D$3:$D$157,$B$3,'2023 Business Log'!$S$3:$S$157,A18)</f>
        <v>515000</v>
      </c>
      <c r="C18" s="20">
        <f>SUMIFS('2023 Business Log'!$N$3:$N$157,'2023 Business Log'!$D$3:$D$157,$C$3,'2023 Business Log'!$S$3:$S$157,A18)</f>
        <v>0</v>
      </c>
      <c r="D18" s="20">
        <f>SUMIFS('2023 Business Log'!$N$3:$N$157,'2023 Business Log'!$D$3:$D$157,$D$3,'2023 Business Log'!$S$3:$S$157,A18)</f>
        <v>25000</v>
      </c>
      <c r="E18" s="24">
        <f>SUMIFS('2023 Business Log'!$N$3:$N$157,'2023 Business Log'!$D$3:$D$157,$E$3,'2023 Business Log'!$S$3:$S$157,A18)</f>
        <v>0</v>
      </c>
      <c r="F18" s="34">
        <f t="shared" si="0"/>
        <v>540000</v>
      </c>
      <c r="G18" s="19">
        <f t="shared" si="1"/>
        <v>30900</v>
      </c>
      <c r="H18" s="20">
        <f t="shared" si="2"/>
        <v>0</v>
      </c>
      <c r="I18" s="20">
        <f t="shared" si="3"/>
        <v>1500</v>
      </c>
      <c r="J18" s="24">
        <f t="shared" si="4"/>
        <v>0</v>
      </c>
      <c r="K18" s="196">
        <f t="shared" si="5"/>
        <v>32400</v>
      </c>
    </row>
    <row r="19" spans="1:11" x14ac:dyDescent="0.2">
      <c r="A19" s="77" t="str">
        <f>'Data Source'!D21</f>
        <v>Seminar-Sayler's</v>
      </c>
      <c r="B19" s="19">
        <f>SUMIFS('2023 Business Log'!$N$3:$N$157,'2023 Business Log'!$D$3:$D$157,$B$3,'2023 Business Log'!$S$3:$S$157,A19)</f>
        <v>0</v>
      </c>
      <c r="C19" s="20">
        <f>SUMIFS('2023 Business Log'!$N$3:$N$157,'2023 Business Log'!$D$3:$D$157,$C$3,'2023 Business Log'!$S$3:$S$157,A19)</f>
        <v>0</v>
      </c>
      <c r="D19" s="20">
        <f>SUMIFS('2023 Business Log'!$N$3:$N$157,'2023 Business Log'!$D$3:$D$157,$D$3,'2023 Business Log'!$S$3:$S$157,A19)</f>
        <v>0</v>
      </c>
      <c r="E19" s="24">
        <f>SUMIFS('2023 Business Log'!$N$3:$N$157,'2023 Business Log'!$D$3:$D$157,$E$3,'2023 Business Log'!$S$3:$S$157,A19)</f>
        <v>0</v>
      </c>
      <c r="F19" s="34">
        <f t="shared" si="0"/>
        <v>0</v>
      </c>
      <c r="G19" s="19">
        <f t="shared" si="1"/>
        <v>0</v>
      </c>
      <c r="H19" s="20">
        <f t="shared" si="2"/>
        <v>0</v>
      </c>
      <c r="I19" s="20">
        <f t="shared" si="3"/>
        <v>0</v>
      </c>
      <c r="J19" s="24">
        <f t="shared" si="4"/>
        <v>0</v>
      </c>
      <c r="K19" s="196">
        <f t="shared" si="5"/>
        <v>0</v>
      </c>
    </row>
    <row r="20" spans="1:11" x14ac:dyDescent="0.2">
      <c r="A20" s="77" t="str">
        <f>'Data Source'!D22</f>
        <v>STEEP-CLACK</v>
      </c>
      <c r="B20" s="19">
        <f>SUMIFS('2023 Business Log'!$N$3:$N$157,'2023 Business Log'!$D$3:$D$157,$B$3,'2023 Business Log'!$S$3:$S$157,A20)</f>
        <v>35000</v>
      </c>
      <c r="C20" s="20">
        <f>SUMIFS('2023 Business Log'!$N$3:$N$157,'2023 Business Log'!$D$3:$D$157,$C$3,'2023 Business Log'!$S$3:$S$157,A20)</f>
        <v>0</v>
      </c>
      <c r="D20" s="20">
        <f>SUMIFS('2023 Business Log'!$N$3:$N$157,'2023 Business Log'!$D$3:$D$157,$D$3,'2023 Business Log'!$S$3:$S$157,A20)</f>
        <v>0</v>
      </c>
      <c r="E20" s="24">
        <f>SUMIFS('2023 Business Log'!$N$3:$N$157,'2023 Business Log'!$D$3:$D$157,$E$3,'2023 Business Log'!$S$3:$S$157,A20)</f>
        <v>0</v>
      </c>
      <c r="F20" s="34">
        <f t="shared" si="0"/>
        <v>35000</v>
      </c>
      <c r="G20" s="19">
        <f t="shared" si="1"/>
        <v>2100</v>
      </c>
      <c r="H20" s="20">
        <f t="shared" si="2"/>
        <v>0</v>
      </c>
      <c r="I20" s="20">
        <f t="shared" si="3"/>
        <v>0</v>
      </c>
      <c r="J20" s="24">
        <f t="shared" si="4"/>
        <v>0</v>
      </c>
      <c r="K20" s="196">
        <f t="shared" si="5"/>
        <v>2100</v>
      </c>
    </row>
    <row r="21" spans="1:11" x14ac:dyDescent="0.2">
      <c r="A21" s="77" t="str">
        <f>'Data Source'!D23</f>
        <v>STEEP-VAN</v>
      </c>
      <c r="B21" s="19">
        <f>SUMIFS('2023 Business Log'!$N$3:$N$157,'2023 Business Log'!$D$3:$D$157,$B$3,'2023 Business Log'!$S$3:$S$157,A21)</f>
        <v>150000</v>
      </c>
      <c r="C21" s="20">
        <f>SUMIFS('2023 Business Log'!$N$3:$N$157,'2023 Business Log'!$D$3:$D$157,$C$3,'2023 Business Log'!$S$3:$S$157,A21)</f>
        <v>0</v>
      </c>
      <c r="D21" s="20">
        <f>SUMIFS('2023 Business Log'!$N$3:$N$157,'2023 Business Log'!$D$3:$D$157,$D$3,'2023 Business Log'!$S$3:$S$157,A21)</f>
        <v>0</v>
      </c>
      <c r="E21" s="24">
        <f>SUMIFS('2023 Business Log'!$N$3:$N$157,'2023 Business Log'!$D$3:$D$157,$E$3,'2023 Business Log'!$S$3:$S$157,A21)</f>
        <v>0</v>
      </c>
      <c r="F21" s="34">
        <f t="shared" si="0"/>
        <v>150000</v>
      </c>
      <c r="G21" s="19">
        <f t="shared" si="1"/>
        <v>9000</v>
      </c>
      <c r="H21" s="20">
        <f t="shared" si="2"/>
        <v>0</v>
      </c>
      <c r="I21" s="20">
        <f t="shared" si="3"/>
        <v>0</v>
      </c>
      <c r="J21" s="24">
        <f t="shared" si="4"/>
        <v>0</v>
      </c>
      <c r="K21" s="196">
        <f t="shared" si="5"/>
        <v>9000</v>
      </c>
    </row>
    <row r="22" spans="1:11" x14ac:dyDescent="0.2">
      <c r="A22" s="77" t="str">
        <f>'Data Source'!D24</f>
        <v>TV</v>
      </c>
      <c r="B22" s="19">
        <f>SUMIFS('2023 Business Log'!$N$3:$N$157,'2023 Business Log'!$D$3:$D$157,$B$3,'2023 Business Log'!$S$3:$S$157,A22)</f>
        <v>56000</v>
      </c>
      <c r="C22" s="20">
        <f>SUMIFS('2023 Business Log'!$N$3:$N$157,'2023 Business Log'!$D$3:$D$157,$C$3,'2023 Business Log'!$S$3:$S$157,A22)</f>
        <v>800000</v>
      </c>
      <c r="D22" s="20">
        <f>SUMIFS('2023 Business Log'!$N$3:$N$157,'2023 Business Log'!$D$3:$D$157,$D$3,'2023 Business Log'!$S$3:$S$157,A22)</f>
        <v>0</v>
      </c>
      <c r="E22" s="24">
        <f>SUMIFS('2023 Business Log'!$N$3:$N$157,'2023 Business Log'!$D$3:$D$157,$E$3,'2023 Business Log'!$S$3:$S$157,A22)</f>
        <v>0</v>
      </c>
      <c r="F22" s="34">
        <f t="shared" si="0"/>
        <v>856000</v>
      </c>
      <c r="G22" s="19">
        <f t="shared" si="1"/>
        <v>3360</v>
      </c>
      <c r="H22" s="20">
        <f t="shared" si="2"/>
        <v>8000</v>
      </c>
      <c r="I22" s="20">
        <f t="shared" si="3"/>
        <v>0</v>
      </c>
      <c r="J22" s="24">
        <f t="shared" si="4"/>
        <v>0</v>
      </c>
      <c r="K22" s="196">
        <f t="shared" si="5"/>
        <v>11360</v>
      </c>
    </row>
    <row r="23" spans="1:11" x14ac:dyDescent="0.2">
      <c r="A23" s="77" t="str">
        <f>'Data Source'!D25</f>
        <v>Unknown</v>
      </c>
      <c r="B23" s="19">
        <f>SUMIFS('2023 Business Log'!$N$3:$N$157,'2023 Business Log'!$D$3:$D$157,$B$3,'2023 Business Log'!$S$3:$S$157,A23)</f>
        <v>750000</v>
      </c>
      <c r="C23" s="20">
        <f>SUMIFS('2023 Business Log'!$N$3:$N$157,'2023 Business Log'!$D$3:$D$157,$C$3,'2023 Business Log'!$S$3:$S$157,A23)</f>
        <v>0</v>
      </c>
      <c r="D23" s="20">
        <f>SUMIFS('2023 Business Log'!$N$3:$N$157,'2023 Business Log'!$D$3:$D$157,$D$3,'2023 Business Log'!$S$3:$S$157,A23)</f>
        <v>0</v>
      </c>
      <c r="E23" s="24">
        <f>SUMIFS('2023 Business Log'!$N$3:$N$157,'2023 Business Log'!$D$3:$D$157,$E$3,'2023 Business Log'!$S$3:$S$157,A23)</f>
        <v>0</v>
      </c>
      <c r="F23" s="34">
        <f t="shared" ref="F23" si="6">SUM(B23:E23)</f>
        <v>750000</v>
      </c>
      <c r="G23" s="19">
        <f t="shared" si="1"/>
        <v>45000</v>
      </c>
      <c r="H23" s="20">
        <f t="shared" ref="H23" si="7">C23*0.01</f>
        <v>0</v>
      </c>
      <c r="I23" s="20">
        <f t="shared" ref="I23" si="8">D23*0.06</f>
        <v>0</v>
      </c>
      <c r="J23" s="24">
        <f t="shared" ref="J23" si="9">E23*0.2</f>
        <v>0</v>
      </c>
      <c r="K23" s="196">
        <f t="shared" ref="K23" si="10">SUM(G23:J23)</f>
        <v>45000</v>
      </c>
    </row>
    <row r="24" spans="1:11" x14ac:dyDescent="0.2">
      <c r="A24" s="77" t="str">
        <f>'Data Source'!D26</f>
        <v>Website/Call-In</v>
      </c>
      <c r="B24" s="19">
        <f>SUMIFS('2023 Business Log'!$N$3:$N$157,'2023 Business Log'!$D$3:$D$157,$B$3,'2023 Business Log'!$S$3:$S$157,A24)</f>
        <v>300000</v>
      </c>
      <c r="C24" s="20">
        <f>SUMIFS('2023 Business Log'!$N$3:$N$157,'2023 Business Log'!$D$3:$D$157,$C$3,'2023 Business Log'!$S$3:$S$157,A24)</f>
        <v>0</v>
      </c>
      <c r="D24" s="20">
        <f>SUMIFS('2023 Business Log'!$N$3:$N$157,'2023 Business Log'!$D$3:$D$157,$D$3,'2023 Business Log'!$S$3:$S$157,A24)</f>
        <v>0</v>
      </c>
      <c r="E24" s="24">
        <f>SUMIFS('2023 Business Log'!$N$3:$N$157,'2023 Business Log'!$D$3:$D$157,$E$3,'2023 Business Log'!$S$3:$S$157,A24)</f>
        <v>0</v>
      </c>
      <c r="F24" s="34">
        <f t="shared" si="0"/>
        <v>300000</v>
      </c>
      <c r="G24" s="19">
        <f t="shared" si="1"/>
        <v>18000</v>
      </c>
      <c r="H24" s="20">
        <f t="shared" si="2"/>
        <v>0</v>
      </c>
      <c r="I24" s="20">
        <f t="shared" si="3"/>
        <v>0</v>
      </c>
      <c r="J24" s="24">
        <f t="shared" si="4"/>
        <v>0</v>
      </c>
      <c r="K24" s="196">
        <f t="shared" si="5"/>
        <v>18000</v>
      </c>
    </row>
    <row r="25" spans="1:11" x14ac:dyDescent="0.2">
      <c r="A25" s="77">
        <f>'Data Source'!D27</f>
        <v>0</v>
      </c>
      <c r="B25" s="19">
        <f>SUMIFS('2023 Business Log'!$N$3:$N$157,'2023 Business Log'!$D$3:$D$157,$B$3,'2023 Business Log'!$S$3:$S$157,A25)</f>
        <v>0</v>
      </c>
      <c r="C25" s="20">
        <f>SUMIFS('2023 Business Log'!$N$3:$N$157,'2023 Business Log'!$D$3:$D$157,$C$3,'2023 Business Log'!$S$3:$S$157,A25)</f>
        <v>0</v>
      </c>
      <c r="D25" s="20">
        <f>SUMIFS('2023 Business Log'!$N$3:$N$157,'2023 Business Log'!$D$3:$D$157,$D$3,'2023 Business Log'!$S$3:$S$157,A25)</f>
        <v>0</v>
      </c>
      <c r="E25" s="24">
        <f>SUMIFS('2023 Business Log'!$N$3:$N$157,'2023 Business Log'!$D$3:$D$157,$E$3,'2023 Business Log'!$S$3:$S$157,A25)</f>
        <v>0</v>
      </c>
      <c r="F25" s="34">
        <f t="shared" si="0"/>
        <v>0</v>
      </c>
      <c r="G25" s="19">
        <f t="shared" si="1"/>
        <v>0</v>
      </c>
      <c r="H25" s="20">
        <f t="shared" si="2"/>
        <v>0</v>
      </c>
      <c r="I25" s="20">
        <f t="shared" si="3"/>
        <v>0</v>
      </c>
      <c r="J25" s="24">
        <f t="shared" si="4"/>
        <v>0</v>
      </c>
      <c r="K25" s="196">
        <f t="shared" si="5"/>
        <v>0</v>
      </c>
    </row>
    <row r="26" spans="1:11" x14ac:dyDescent="0.2">
      <c r="A26" s="77">
        <f>'Data Source'!D28</f>
        <v>0</v>
      </c>
      <c r="B26" s="19">
        <f>SUMIFS('2023 Business Log'!$N$3:$N$157,'2023 Business Log'!$D$3:$D$157,$B$3,'2023 Business Log'!$S$3:$S$157,A26)</f>
        <v>0</v>
      </c>
      <c r="C26" s="20">
        <f>SUMIFS('2023 Business Log'!$N$3:$N$157,'2023 Business Log'!$D$3:$D$157,$C$3,'2023 Business Log'!$S$3:$S$157,A26)</f>
        <v>0</v>
      </c>
      <c r="D26" s="20">
        <f>SUMIFS('2023 Business Log'!$N$3:$N$157,'2023 Business Log'!$D$3:$D$157,$D$3,'2023 Business Log'!$S$3:$S$157,A26)</f>
        <v>0</v>
      </c>
      <c r="E26" s="24">
        <f>SUMIFS('2023 Business Log'!$N$3:$N$157,'2023 Business Log'!$D$3:$D$157,$E$3,'2023 Business Log'!$S$3:$S$157,A26)</f>
        <v>0</v>
      </c>
      <c r="F26" s="34">
        <f t="shared" si="0"/>
        <v>0</v>
      </c>
      <c r="G26" s="19">
        <f t="shared" si="1"/>
        <v>0</v>
      </c>
      <c r="H26" s="20">
        <f t="shared" si="2"/>
        <v>0</v>
      </c>
      <c r="I26" s="20">
        <f t="shared" si="3"/>
        <v>0</v>
      </c>
      <c r="J26" s="24">
        <f t="shared" si="4"/>
        <v>0</v>
      </c>
      <c r="K26" s="196">
        <f t="shared" si="5"/>
        <v>0</v>
      </c>
    </row>
    <row r="27" spans="1:11" ht="16" thickBot="1" x14ac:dyDescent="0.25">
      <c r="A27" s="77">
        <f>'Data Source'!D29</f>
        <v>0</v>
      </c>
      <c r="B27" s="19">
        <f>SUMIFS('2023 Business Log'!$N$3:$N$157,'2023 Business Log'!$D$3:$D$157,$B$3,'2023 Business Log'!$S$3:$S$157,A27)</f>
        <v>0</v>
      </c>
      <c r="C27" s="20">
        <f>SUMIFS('2023 Business Log'!$N$3:$N$157,'2023 Business Log'!$D$3:$D$157,$C$3,'2023 Business Log'!$S$3:$S$157,A27)</f>
        <v>0</v>
      </c>
      <c r="D27" s="20">
        <f>SUMIFS('2023 Business Log'!$N$3:$N$157,'2023 Business Log'!$D$3:$D$157,$D$3,'2023 Business Log'!$S$3:$S$157,A27)</f>
        <v>0</v>
      </c>
      <c r="E27" s="24">
        <f>SUMIFS('2023 Business Log'!$N$3:$N$157,'2023 Business Log'!$D$3:$D$157,$E$3,'2023 Business Log'!$S$3:$S$157,A27)</f>
        <v>0</v>
      </c>
      <c r="F27" s="34">
        <f t="shared" si="0"/>
        <v>0</v>
      </c>
      <c r="G27" s="25">
        <f t="shared" si="1"/>
        <v>0</v>
      </c>
      <c r="H27" s="26">
        <f t="shared" si="2"/>
        <v>0</v>
      </c>
      <c r="I27" s="26">
        <f t="shared" si="3"/>
        <v>0</v>
      </c>
      <c r="J27" s="27">
        <f t="shared" si="4"/>
        <v>0</v>
      </c>
      <c r="K27" s="197">
        <f t="shared" si="5"/>
        <v>0</v>
      </c>
    </row>
    <row r="28" spans="1:11" ht="17" thickBot="1" x14ac:dyDescent="0.25">
      <c r="A28" s="5" t="s">
        <v>34</v>
      </c>
      <c r="B28" s="85">
        <f>SUM(B4:B27)</f>
        <v>3341000</v>
      </c>
      <c r="C28" s="86">
        <f>SUM(C4:C27)</f>
        <v>4505000</v>
      </c>
      <c r="D28" s="86">
        <f>SUM(D4:D27)</f>
        <v>118125</v>
      </c>
      <c r="E28" s="91">
        <f>SUM(E4:E27)</f>
        <v>1005.25</v>
      </c>
      <c r="F28" s="13">
        <f>SUM(B28:E28)</f>
        <v>7965130.25</v>
      </c>
      <c r="G28" s="29">
        <f>SUM(G4:G27)</f>
        <v>200460</v>
      </c>
      <c r="H28" s="29">
        <f>SUM(H4:H27)</f>
        <v>45050</v>
      </c>
      <c r="I28" s="29">
        <f>SUM(I4:I27)</f>
        <v>7087.5</v>
      </c>
      <c r="J28" s="37">
        <f>SUM(J4:J27)</f>
        <v>201.05</v>
      </c>
      <c r="K28" s="46">
        <f>SUM(K4:K27)</f>
        <v>252798.55</v>
      </c>
    </row>
    <row r="31" spans="1:11" x14ac:dyDescent="0.2">
      <c r="B31" s="47" t="s">
        <v>68</v>
      </c>
      <c r="C31" s="47" t="s">
        <v>69</v>
      </c>
      <c r="D31" s="47" t="s">
        <v>70</v>
      </c>
      <c r="E31" s="47" t="s">
        <v>71</v>
      </c>
      <c r="F31" s="47" t="s">
        <v>72</v>
      </c>
      <c r="G31" s="47" t="s">
        <v>92</v>
      </c>
      <c r="H31" s="47" t="s">
        <v>73</v>
      </c>
    </row>
    <row r="32" spans="1:11" x14ac:dyDescent="0.2">
      <c r="A32" s="48" t="s">
        <v>256</v>
      </c>
      <c r="B32" s="49" t="s">
        <v>74</v>
      </c>
      <c r="C32" s="49" t="s">
        <v>75</v>
      </c>
      <c r="D32" s="49" t="s">
        <v>76</v>
      </c>
      <c r="E32" s="49" t="s">
        <v>77</v>
      </c>
      <c r="F32" s="49" t="s">
        <v>78</v>
      </c>
      <c r="G32" s="49" t="s">
        <v>78</v>
      </c>
      <c r="H32" s="49" t="s">
        <v>79</v>
      </c>
    </row>
    <row r="33" spans="1:11" x14ac:dyDescent="0.2">
      <c r="A33" s="225" t="s">
        <v>229</v>
      </c>
      <c r="B33" s="50">
        <f t="shared" ref="B33:B39" si="11">SUMIF($A$4:$A$27,A33,$K$4:$K$27)</f>
        <v>23000</v>
      </c>
      <c r="C33" s="223">
        <v>800</v>
      </c>
      <c r="D33" s="50">
        <f>C33*52</f>
        <v>41600</v>
      </c>
      <c r="E33" s="224">
        <f ca="1">'Agent YTD Summary'!$P$8</f>
        <v>0.48219178082191783</v>
      </c>
      <c r="F33" s="52">
        <f t="shared" ref="F33:F39" ca="1" si="12">D33*E33</f>
        <v>20059.178082191782</v>
      </c>
      <c r="G33" s="53">
        <f t="shared" ref="G33:G40" ca="1" si="13">B33-F33</f>
        <v>2940.8219178082181</v>
      </c>
      <c r="H33" s="54">
        <f ca="1">G33/F33</f>
        <v>0.1466072989510489</v>
      </c>
    </row>
    <row r="34" spans="1:11" x14ac:dyDescent="0.2">
      <c r="A34" s="225" t="s">
        <v>230</v>
      </c>
      <c r="B34" s="50">
        <f t="shared" si="11"/>
        <v>3100</v>
      </c>
      <c r="C34" s="223">
        <v>714</v>
      </c>
      <c r="D34" s="50">
        <f>C34*52</f>
        <v>37128</v>
      </c>
      <c r="E34" s="224">
        <f ca="1">'Agent YTD Summary'!$P$8</f>
        <v>0.48219178082191783</v>
      </c>
      <c r="F34" s="52">
        <f t="shared" ca="1" si="12"/>
        <v>17902.816438356163</v>
      </c>
      <c r="G34" s="53">
        <f t="shared" ca="1" si="13"/>
        <v>-14802.816438356163</v>
      </c>
      <c r="H34" s="54">
        <f t="shared" ref="H34:H39" ca="1" si="14">G34/F34</f>
        <v>-0.82684288750465218</v>
      </c>
    </row>
    <row r="35" spans="1:11" x14ac:dyDescent="0.2">
      <c r="A35" s="225" t="s">
        <v>231</v>
      </c>
      <c r="B35" s="50">
        <f t="shared" si="11"/>
        <v>9300</v>
      </c>
      <c r="C35" s="223">
        <v>400</v>
      </c>
      <c r="D35" s="50">
        <f>C35*52</f>
        <v>20800</v>
      </c>
      <c r="E35" s="224">
        <f ca="1">'Agent YTD Summary'!$P$8</f>
        <v>0.48219178082191783</v>
      </c>
      <c r="F35" s="52">
        <f t="shared" ca="1" si="12"/>
        <v>10029.589041095891</v>
      </c>
      <c r="G35" s="53">
        <f t="shared" ca="1" si="13"/>
        <v>-729.58904109589093</v>
      </c>
      <c r="H35" s="54">
        <f t="shared" ca="1" si="14"/>
        <v>-7.2743662587412633E-2</v>
      </c>
    </row>
    <row r="36" spans="1:11" x14ac:dyDescent="0.2">
      <c r="A36" s="225" t="s">
        <v>232</v>
      </c>
      <c r="B36" s="50">
        <f t="shared" si="11"/>
        <v>6200</v>
      </c>
      <c r="C36" s="223">
        <v>525</v>
      </c>
      <c r="D36" s="50">
        <f>C36*12</f>
        <v>6300</v>
      </c>
      <c r="E36" s="224">
        <f ca="1">'Agent YTD Summary'!$P$8</f>
        <v>0.48219178082191783</v>
      </c>
      <c r="F36" s="52">
        <f t="shared" ca="1" si="12"/>
        <v>3037.8082191780823</v>
      </c>
      <c r="G36" s="53">
        <f t="shared" ca="1" si="13"/>
        <v>3162.1917808219177</v>
      </c>
      <c r="H36" s="54">
        <f t="shared" ca="1" si="14"/>
        <v>1.0409451659451658</v>
      </c>
      <c r="I36" s="44"/>
    </row>
    <row r="37" spans="1:11" x14ac:dyDescent="0.2">
      <c r="A37" s="225" t="s">
        <v>37</v>
      </c>
      <c r="B37" s="50">
        <f t="shared" si="11"/>
        <v>7601.05</v>
      </c>
      <c r="C37" s="223">
        <v>1</v>
      </c>
      <c r="D37" s="50">
        <f>C37*12</f>
        <v>12</v>
      </c>
      <c r="E37" s="224">
        <f ca="1">'Agent YTD Summary'!$P$8</f>
        <v>0.48219178082191783</v>
      </c>
      <c r="F37" s="52">
        <f t="shared" ca="1" si="12"/>
        <v>5.7863013698630139</v>
      </c>
      <c r="G37" s="53">
        <f t="shared" ca="1" si="13"/>
        <v>7595.2636986301368</v>
      </c>
      <c r="H37" s="54">
        <f t="shared" ca="1" si="14"/>
        <v>1312.6284327651515</v>
      </c>
    </row>
    <row r="38" spans="1:11" x14ac:dyDescent="0.2">
      <c r="A38" s="117"/>
      <c r="B38" s="50">
        <f t="shared" si="11"/>
        <v>0</v>
      </c>
      <c r="C38" s="223"/>
      <c r="D38" s="50">
        <f>C38*12</f>
        <v>0</v>
      </c>
      <c r="E38" s="224">
        <f ca="1">'Agent YTD Summary'!$P$8</f>
        <v>0.48219178082191783</v>
      </c>
      <c r="F38" s="52">
        <f t="shared" ca="1" si="12"/>
        <v>0</v>
      </c>
      <c r="G38" s="53">
        <f t="shared" ca="1" si="13"/>
        <v>0</v>
      </c>
      <c r="H38" s="54" t="e">
        <f t="shared" ca="1" si="14"/>
        <v>#DIV/0!</v>
      </c>
    </row>
    <row r="39" spans="1:11" x14ac:dyDescent="0.2">
      <c r="A39" s="117"/>
      <c r="B39" s="50">
        <f t="shared" si="11"/>
        <v>0</v>
      </c>
      <c r="C39" s="223"/>
      <c r="D39" s="50">
        <f>C39*12</f>
        <v>0</v>
      </c>
      <c r="E39" s="224">
        <f ca="1">'Agent YTD Summary'!$P$8</f>
        <v>0.48219178082191783</v>
      </c>
      <c r="F39" s="52">
        <f t="shared" ca="1" si="12"/>
        <v>0</v>
      </c>
      <c r="G39" s="53">
        <f t="shared" ca="1" si="13"/>
        <v>0</v>
      </c>
      <c r="H39" s="54" t="e">
        <f t="shared" ca="1" si="14"/>
        <v>#DIV/0!</v>
      </c>
    </row>
    <row r="40" spans="1:11" x14ac:dyDescent="0.2">
      <c r="A40" s="55" t="s">
        <v>80</v>
      </c>
      <c r="B40" s="56">
        <f>SUM(B33:B37)</f>
        <v>49201.05</v>
      </c>
      <c r="C40" s="56">
        <f>SUM(C33:C37)</f>
        <v>2440</v>
      </c>
      <c r="D40" s="56">
        <f>SUM(D33:D37)</f>
        <v>105840</v>
      </c>
      <c r="E40" s="57"/>
      <c r="F40" s="58">
        <f ca="1">SUM(F33:F37)</f>
        <v>51035.178082191786</v>
      </c>
      <c r="G40" s="59">
        <f t="shared" ca="1" si="13"/>
        <v>-1834.1280821917826</v>
      </c>
      <c r="H40" s="60">
        <f ca="1">G40/F40</f>
        <v>-3.5938506557926235E-2</v>
      </c>
    </row>
    <row r="41" spans="1:11" x14ac:dyDescent="0.2">
      <c r="A41" s="61"/>
      <c r="B41" s="62"/>
      <c r="C41" s="62"/>
      <c r="D41" s="62"/>
      <c r="E41" s="63"/>
      <c r="F41" s="64"/>
      <c r="G41" s="65"/>
      <c r="H41" s="66"/>
    </row>
    <row r="42" spans="1:11" x14ac:dyDescent="0.2">
      <c r="B42" s="47" t="s">
        <v>68</v>
      </c>
      <c r="C42" s="62" t="s">
        <v>81</v>
      </c>
      <c r="D42" s="62" t="s">
        <v>82</v>
      </c>
      <c r="E42" s="47" t="s">
        <v>83</v>
      </c>
      <c r="F42" s="64" t="s">
        <v>84</v>
      </c>
      <c r="G42" s="65" t="s">
        <v>85</v>
      </c>
      <c r="H42" s="65" t="s">
        <v>86</v>
      </c>
      <c r="I42" s="66" t="s">
        <v>72</v>
      </c>
      <c r="J42" s="47" t="s">
        <v>92</v>
      </c>
      <c r="K42" s="47" t="s">
        <v>73</v>
      </c>
    </row>
    <row r="43" spans="1:11" x14ac:dyDescent="0.2">
      <c r="A43" s="48" t="s">
        <v>255</v>
      </c>
      <c r="B43" s="49" t="s">
        <v>74</v>
      </c>
      <c r="C43" s="67" t="s">
        <v>87</v>
      </c>
      <c r="D43" s="67" t="s">
        <v>88</v>
      </c>
      <c r="E43" s="2" t="s">
        <v>77</v>
      </c>
      <c r="F43" s="68" t="s">
        <v>89</v>
      </c>
      <c r="G43" s="69" t="s">
        <v>89</v>
      </c>
      <c r="H43" s="69" t="s">
        <v>76</v>
      </c>
      <c r="I43" s="70" t="s">
        <v>88</v>
      </c>
      <c r="J43" s="49" t="s">
        <v>78</v>
      </c>
      <c r="K43" s="49" t="s">
        <v>79</v>
      </c>
    </row>
    <row r="44" spans="1:11" x14ac:dyDescent="0.2">
      <c r="A44" s="225" t="s">
        <v>38</v>
      </c>
      <c r="B44" s="50">
        <f t="shared" ref="B44:B56" si="15">SUMIF($A$4:$A$27,A44,$K$4:$K$27)</f>
        <v>12000</v>
      </c>
      <c r="C44" s="226">
        <v>1</v>
      </c>
      <c r="D44" s="226">
        <v>1</v>
      </c>
      <c r="E44" s="51">
        <f>D44/C44</f>
        <v>1</v>
      </c>
      <c r="F44" s="223">
        <v>3459</v>
      </c>
      <c r="G44" s="223">
        <v>1760</v>
      </c>
      <c r="H44" s="50">
        <f>SUM(F44:G44)*C44</f>
        <v>5219</v>
      </c>
      <c r="I44" s="52">
        <f t="shared" ref="I44:I53" si="16">H44*E44</f>
        <v>5219</v>
      </c>
      <c r="J44" s="54">
        <f t="shared" ref="J44:J53" si="17">B44-I44</f>
        <v>6781</v>
      </c>
      <c r="K44" s="54">
        <f t="shared" ref="K44:K57" si="18">J44/I44</f>
        <v>1.2992910519256562</v>
      </c>
    </row>
    <row r="45" spans="1:11" x14ac:dyDescent="0.2">
      <c r="A45" s="225" t="s">
        <v>39</v>
      </c>
      <c r="B45" s="50">
        <f t="shared" si="15"/>
        <v>0</v>
      </c>
      <c r="C45" s="226">
        <v>1</v>
      </c>
      <c r="D45" s="226">
        <v>0</v>
      </c>
      <c r="E45" s="51">
        <f t="shared" ref="E45:E56" si="19">D45/C45</f>
        <v>0</v>
      </c>
      <c r="F45" s="223">
        <v>3459</v>
      </c>
      <c r="G45" s="223">
        <v>900</v>
      </c>
      <c r="H45" s="50">
        <f t="shared" ref="H45:H53" si="20">SUM(F45:G45)*C45</f>
        <v>4359</v>
      </c>
      <c r="I45" s="52">
        <f t="shared" si="16"/>
        <v>0</v>
      </c>
      <c r="J45" s="54">
        <f t="shared" si="17"/>
        <v>0</v>
      </c>
      <c r="K45" s="54" t="e">
        <f t="shared" si="18"/>
        <v>#DIV/0!</v>
      </c>
    </row>
    <row r="46" spans="1:11" x14ac:dyDescent="0.2">
      <c r="A46" s="225" t="s">
        <v>40</v>
      </c>
      <c r="B46" s="50">
        <f t="shared" si="15"/>
        <v>38100</v>
      </c>
      <c r="C46" s="226">
        <v>4</v>
      </c>
      <c r="D46" s="226">
        <v>2</v>
      </c>
      <c r="E46" s="51">
        <f t="shared" si="19"/>
        <v>0.5</v>
      </c>
      <c r="F46" s="223">
        <v>3459</v>
      </c>
      <c r="G46" s="223">
        <v>1200</v>
      </c>
      <c r="H46" s="50">
        <f t="shared" si="20"/>
        <v>18636</v>
      </c>
      <c r="I46" s="52">
        <f t="shared" si="16"/>
        <v>9318</v>
      </c>
      <c r="J46" s="54">
        <f t="shared" si="17"/>
        <v>28782</v>
      </c>
      <c r="K46" s="54">
        <f t="shared" si="18"/>
        <v>3.0888602704443016</v>
      </c>
    </row>
    <row r="47" spans="1:11" x14ac:dyDescent="0.2">
      <c r="A47" s="225" t="s">
        <v>41</v>
      </c>
      <c r="B47" s="50">
        <f t="shared" si="15"/>
        <v>12000</v>
      </c>
      <c r="C47" s="226">
        <v>1</v>
      </c>
      <c r="D47" s="226">
        <v>0</v>
      </c>
      <c r="E47" s="51">
        <f t="shared" si="19"/>
        <v>0</v>
      </c>
      <c r="F47" s="223">
        <v>3459</v>
      </c>
      <c r="G47" s="223">
        <v>2500</v>
      </c>
      <c r="H47" s="50">
        <f t="shared" si="20"/>
        <v>5959</v>
      </c>
      <c r="I47" s="52">
        <f t="shared" si="16"/>
        <v>0</v>
      </c>
      <c r="J47" s="54">
        <f t="shared" si="17"/>
        <v>12000</v>
      </c>
      <c r="K47" s="54" t="e">
        <f t="shared" si="18"/>
        <v>#DIV/0!</v>
      </c>
    </row>
    <row r="48" spans="1:11" x14ac:dyDescent="0.2">
      <c r="A48" s="225" t="s">
        <v>42</v>
      </c>
      <c r="B48" s="50">
        <f t="shared" si="15"/>
        <v>750</v>
      </c>
      <c r="C48" s="226">
        <v>1</v>
      </c>
      <c r="D48" s="226">
        <v>0</v>
      </c>
      <c r="E48" s="51">
        <f t="shared" si="19"/>
        <v>0</v>
      </c>
      <c r="F48" s="223">
        <v>3459</v>
      </c>
      <c r="G48" s="223">
        <v>2400</v>
      </c>
      <c r="H48" s="50">
        <f t="shared" si="20"/>
        <v>5859</v>
      </c>
      <c r="I48" s="52">
        <f t="shared" si="16"/>
        <v>0</v>
      </c>
      <c r="J48" s="54">
        <f t="shared" si="17"/>
        <v>750</v>
      </c>
      <c r="K48" s="54" t="e">
        <f t="shared" si="18"/>
        <v>#DIV/0!</v>
      </c>
    </row>
    <row r="49" spans="1:11" x14ac:dyDescent="0.2">
      <c r="A49" s="225" t="s">
        <v>43</v>
      </c>
      <c r="B49" s="50">
        <f t="shared" si="15"/>
        <v>0</v>
      </c>
      <c r="C49" s="226">
        <v>1</v>
      </c>
      <c r="D49" s="226">
        <v>0</v>
      </c>
      <c r="E49" s="51">
        <f t="shared" si="19"/>
        <v>0</v>
      </c>
      <c r="F49" s="223">
        <v>3459</v>
      </c>
      <c r="G49" s="223">
        <v>1000</v>
      </c>
      <c r="H49" s="50">
        <f t="shared" si="20"/>
        <v>4459</v>
      </c>
      <c r="I49" s="52">
        <f t="shared" si="16"/>
        <v>0</v>
      </c>
      <c r="J49" s="54">
        <f t="shared" si="17"/>
        <v>0</v>
      </c>
      <c r="K49" s="54" t="e">
        <f t="shared" si="18"/>
        <v>#DIV/0!</v>
      </c>
    </row>
    <row r="50" spans="1:11" x14ac:dyDescent="0.2">
      <c r="A50" s="225" t="s">
        <v>44</v>
      </c>
      <c r="B50" s="50">
        <f t="shared" si="15"/>
        <v>32400</v>
      </c>
      <c r="C50" s="226">
        <v>2</v>
      </c>
      <c r="D50" s="226">
        <v>1</v>
      </c>
      <c r="E50" s="51">
        <f t="shared" si="19"/>
        <v>0.5</v>
      </c>
      <c r="F50" s="223">
        <v>3459</v>
      </c>
      <c r="G50" s="223">
        <v>1000</v>
      </c>
      <c r="H50" s="50">
        <f t="shared" si="20"/>
        <v>8918</v>
      </c>
      <c r="I50" s="52">
        <f t="shared" si="16"/>
        <v>4459</v>
      </c>
      <c r="J50" s="54">
        <f t="shared" si="17"/>
        <v>27941</v>
      </c>
      <c r="K50" s="54">
        <f t="shared" si="18"/>
        <v>6.2662031845705313</v>
      </c>
    </row>
    <row r="51" spans="1:11" x14ac:dyDescent="0.2">
      <c r="A51" s="225" t="s">
        <v>45</v>
      </c>
      <c r="B51" s="50">
        <f t="shared" si="15"/>
        <v>1407.5</v>
      </c>
      <c r="C51" s="226">
        <v>2</v>
      </c>
      <c r="D51" s="226">
        <v>1</v>
      </c>
      <c r="E51" s="51">
        <f t="shared" si="19"/>
        <v>0.5</v>
      </c>
      <c r="F51" s="223">
        <v>3460</v>
      </c>
      <c r="G51" s="223">
        <v>1000</v>
      </c>
      <c r="H51" s="50">
        <f t="shared" si="20"/>
        <v>8920</v>
      </c>
      <c r="I51" s="52">
        <f t="shared" si="16"/>
        <v>4460</v>
      </c>
      <c r="J51" s="54">
        <f t="shared" si="17"/>
        <v>-3052.5</v>
      </c>
      <c r="K51" s="54">
        <f t="shared" si="18"/>
        <v>-0.6844170403587444</v>
      </c>
    </row>
    <row r="52" spans="1:11" x14ac:dyDescent="0.2">
      <c r="A52" s="225" t="s">
        <v>46</v>
      </c>
      <c r="B52" s="50">
        <f t="shared" si="15"/>
        <v>2100</v>
      </c>
      <c r="C52" s="226">
        <v>2</v>
      </c>
      <c r="D52" s="226">
        <v>2</v>
      </c>
      <c r="E52" s="51">
        <f t="shared" si="19"/>
        <v>1</v>
      </c>
      <c r="F52" s="223">
        <v>3460</v>
      </c>
      <c r="G52" s="223">
        <v>1000</v>
      </c>
      <c r="H52" s="50">
        <f t="shared" si="20"/>
        <v>8920</v>
      </c>
      <c r="I52" s="52">
        <f t="shared" si="16"/>
        <v>8920</v>
      </c>
      <c r="J52" s="54">
        <f t="shared" si="17"/>
        <v>-6820</v>
      </c>
      <c r="K52" s="54">
        <f t="shared" si="18"/>
        <v>-0.76457399103139012</v>
      </c>
    </row>
    <row r="53" spans="1:11" x14ac:dyDescent="0.2">
      <c r="A53" s="225" t="s">
        <v>47</v>
      </c>
      <c r="B53" s="50">
        <f t="shared" si="15"/>
        <v>9000</v>
      </c>
      <c r="C53" s="226">
        <v>4</v>
      </c>
      <c r="D53" s="226">
        <v>2</v>
      </c>
      <c r="E53" s="51">
        <f t="shared" si="19"/>
        <v>0.5</v>
      </c>
      <c r="F53" s="223">
        <v>500</v>
      </c>
      <c r="G53" s="223">
        <v>0</v>
      </c>
      <c r="H53" s="50">
        <f t="shared" si="20"/>
        <v>2000</v>
      </c>
      <c r="I53" s="52">
        <f t="shared" si="16"/>
        <v>1000</v>
      </c>
      <c r="J53" s="54">
        <f t="shared" si="17"/>
        <v>8000</v>
      </c>
      <c r="K53" s="54">
        <f t="shared" si="18"/>
        <v>8</v>
      </c>
    </row>
    <row r="54" spans="1:11" x14ac:dyDescent="0.2">
      <c r="A54" s="225" t="s">
        <v>233</v>
      </c>
      <c r="B54" s="50">
        <f t="shared" si="15"/>
        <v>1800</v>
      </c>
      <c r="C54" s="226">
        <v>6</v>
      </c>
      <c r="D54" s="226">
        <v>3</v>
      </c>
      <c r="E54" s="51">
        <f t="shared" si="19"/>
        <v>0.5</v>
      </c>
      <c r="F54" s="223">
        <v>500</v>
      </c>
      <c r="G54" s="223">
        <v>0</v>
      </c>
      <c r="H54" s="50">
        <f t="shared" ref="H54:H56" si="21">SUM(F54:G54)*C54</f>
        <v>3000</v>
      </c>
      <c r="I54" s="52">
        <f t="shared" ref="I54" si="22">H54*E54</f>
        <v>1500</v>
      </c>
      <c r="J54" s="54">
        <f t="shared" ref="J54" si="23">B54-I54</f>
        <v>300</v>
      </c>
      <c r="K54" s="54">
        <f t="shared" si="18"/>
        <v>0.2</v>
      </c>
    </row>
    <row r="55" spans="1:11" x14ac:dyDescent="0.2">
      <c r="A55" s="117"/>
      <c r="B55" s="50">
        <f t="shared" si="15"/>
        <v>0</v>
      </c>
      <c r="C55" s="226"/>
      <c r="D55" s="226"/>
      <c r="E55" s="51" t="e">
        <f t="shared" si="19"/>
        <v>#DIV/0!</v>
      </c>
      <c r="F55" s="223"/>
      <c r="G55" s="223"/>
      <c r="H55" s="50">
        <f t="shared" si="21"/>
        <v>0</v>
      </c>
      <c r="I55" s="52" t="e">
        <f t="shared" ref="I55:I56" si="24">H55*E55</f>
        <v>#DIV/0!</v>
      </c>
      <c r="J55" s="54" t="e">
        <f t="shared" ref="J55:J56" si="25">B55-I55</f>
        <v>#DIV/0!</v>
      </c>
      <c r="K55" s="54" t="e">
        <f t="shared" ref="K55:K56" si="26">J55/I55</f>
        <v>#DIV/0!</v>
      </c>
    </row>
    <row r="56" spans="1:11" x14ac:dyDescent="0.2">
      <c r="A56" s="117"/>
      <c r="B56" s="50">
        <f t="shared" si="15"/>
        <v>0</v>
      </c>
      <c r="C56" s="226"/>
      <c r="D56" s="226"/>
      <c r="E56" s="51" t="e">
        <f t="shared" si="19"/>
        <v>#DIV/0!</v>
      </c>
      <c r="F56" s="223"/>
      <c r="G56" s="223"/>
      <c r="H56" s="50">
        <f t="shared" si="21"/>
        <v>0</v>
      </c>
      <c r="I56" s="52" t="e">
        <f t="shared" si="24"/>
        <v>#DIV/0!</v>
      </c>
      <c r="J56" s="54" t="e">
        <f t="shared" si="25"/>
        <v>#DIV/0!</v>
      </c>
      <c r="K56" s="54" t="e">
        <f t="shared" si="26"/>
        <v>#DIV/0!</v>
      </c>
    </row>
    <row r="57" spans="1:11" x14ac:dyDescent="0.2">
      <c r="A57" s="55" t="s">
        <v>90</v>
      </c>
      <c r="B57" s="58">
        <f>SUMIF(B44:B54,"&gt;0")</f>
        <v>109557.5</v>
      </c>
      <c r="C57" s="71">
        <f>SUMIF(C44:C54,"&gt;0")</f>
        <v>25</v>
      </c>
      <c r="D57" s="71">
        <f>SUMIF(D44:D54,"&gt;0")</f>
        <v>12</v>
      </c>
      <c r="E57" s="57">
        <f>D57/C57</f>
        <v>0.48</v>
      </c>
      <c r="F57" s="56">
        <f>AVERAGE(F44:F48)</f>
        <v>3459</v>
      </c>
      <c r="G57" s="58">
        <f>SUMIF(G44:G54,"&gt;0")</f>
        <v>12760</v>
      </c>
      <c r="H57" s="58">
        <f>SUMIF(H44:H54,"&gt;0")</f>
        <v>76249</v>
      </c>
      <c r="I57" s="58">
        <f>SUMIF(I44:I54,"&gt;0")</f>
        <v>34876</v>
      </c>
      <c r="J57" s="58">
        <f>SUM(J44:J54)</f>
        <v>74681.5</v>
      </c>
      <c r="K57" s="60">
        <f t="shared" si="18"/>
        <v>2.141343617387315</v>
      </c>
    </row>
    <row r="58" spans="1:11" x14ac:dyDescent="0.2">
      <c r="B58" s="50"/>
      <c r="C58" s="50"/>
      <c r="D58" s="50"/>
      <c r="E58" s="50"/>
      <c r="F58" s="62"/>
      <c r="G58" s="62"/>
      <c r="H58" s="62"/>
    </row>
    <row r="59" spans="1:11" x14ac:dyDescent="0.2">
      <c r="B59" s="47" t="s">
        <v>68</v>
      </c>
      <c r="C59" s="47" t="s">
        <v>69</v>
      </c>
      <c r="D59" s="47" t="s">
        <v>70</v>
      </c>
      <c r="E59" s="47" t="s">
        <v>71</v>
      </c>
      <c r="F59" s="47" t="s">
        <v>72</v>
      </c>
      <c r="G59" s="47" t="s">
        <v>92</v>
      </c>
      <c r="H59" s="47" t="s">
        <v>73</v>
      </c>
    </row>
    <row r="60" spans="1:11" x14ac:dyDescent="0.2">
      <c r="A60" s="48" t="s">
        <v>254</v>
      </c>
      <c r="B60" s="49" t="s">
        <v>74</v>
      </c>
      <c r="C60" s="49" t="s">
        <v>91</v>
      </c>
      <c r="D60" s="49" t="s">
        <v>76</v>
      </c>
      <c r="E60" s="49" t="s">
        <v>77</v>
      </c>
      <c r="F60" s="49" t="s">
        <v>78</v>
      </c>
      <c r="G60" s="49" t="s">
        <v>78</v>
      </c>
      <c r="H60" s="49" t="s">
        <v>79</v>
      </c>
    </row>
    <row r="61" spans="1:11" x14ac:dyDescent="0.2">
      <c r="A61" s="225" t="s">
        <v>234</v>
      </c>
      <c r="B61" s="50">
        <f t="shared" ref="B61:B67" si="27">SUMIF($A$4:$A$27,A61,$K$4:$K$27)</f>
        <v>11360</v>
      </c>
      <c r="C61" s="76">
        <v>955</v>
      </c>
      <c r="D61" s="50">
        <f t="shared" ref="D61:D67" si="28">C61*12</f>
        <v>11460</v>
      </c>
      <c r="E61" s="224">
        <f ca="1">'Agent YTD Summary'!$P$8</f>
        <v>0.48219178082191783</v>
      </c>
      <c r="F61" s="52">
        <f t="shared" ref="F61:F67" ca="1" si="29">D61*E61</f>
        <v>5525.9178082191784</v>
      </c>
      <c r="G61" s="53">
        <f t="shared" ref="G61:G68" ca="1" si="30">B61-F61</f>
        <v>5834.0821917808216</v>
      </c>
      <c r="H61" s="54">
        <f t="shared" ref="H61:H68" ca="1" si="31">(G61/F61)</f>
        <v>1.0557670950341107</v>
      </c>
    </row>
    <row r="62" spans="1:11" x14ac:dyDescent="0.2">
      <c r="A62" s="225" t="s">
        <v>48</v>
      </c>
      <c r="B62" s="50">
        <f t="shared" si="27"/>
        <v>18000</v>
      </c>
      <c r="C62" s="76">
        <v>1</v>
      </c>
      <c r="D62" s="50">
        <f t="shared" si="28"/>
        <v>12</v>
      </c>
      <c r="E62" s="224">
        <f ca="1">'Agent YTD Summary'!$P$8</f>
        <v>0.48219178082191783</v>
      </c>
      <c r="F62" s="52">
        <f t="shared" ca="1" si="29"/>
        <v>5.7863013698630139</v>
      </c>
      <c r="G62" s="53">
        <f t="shared" ca="1" si="30"/>
        <v>17994.213698630138</v>
      </c>
      <c r="H62" s="54">
        <f t="shared" ca="1" si="31"/>
        <v>3109.7954545454545</v>
      </c>
    </row>
    <row r="63" spans="1:11" x14ac:dyDescent="0.2">
      <c r="A63" s="225" t="s">
        <v>49</v>
      </c>
      <c r="B63" s="50">
        <f t="shared" si="27"/>
        <v>16680</v>
      </c>
      <c r="C63" s="76">
        <v>1600</v>
      </c>
      <c r="D63" s="50">
        <f t="shared" si="28"/>
        <v>19200</v>
      </c>
      <c r="E63" s="224">
        <f ca="1">'Agent YTD Summary'!$P$8</f>
        <v>0.48219178082191783</v>
      </c>
      <c r="F63" s="52">
        <f t="shared" ca="1" si="29"/>
        <v>9258.0821917808225</v>
      </c>
      <c r="G63" s="53">
        <f t="shared" ca="1" si="30"/>
        <v>7421.9178082191775</v>
      </c>
      <c r="H63" s="54">
        <f t="shared" ca="1" si="31"/>
        <v>0.80166903409090895</v>
      </c>
    </row>
    <row r="64" spans="1:11" x14ac:dyDescent="0.2">
      <c r="A64" s="225" t="s">
        <v>106</v>
      </c>
      <c r="B64" s="50">
        <f t="shared" si="27"/>
        <v>3000</v>
      </c>
      <c r="C64" s="76">
        <v>1</v>
      </c>
      <c r="D64" s="50">
        <f t="shared" si="28"/>
        <v>12</v>
      </c>
      <c r="E64" s="224">
        <f ca="1">'Agent YTD Summary'!$P$8</f>
        <v>0.48219178082191783</v>
      </c>
      <c r="F64" s="52">
        <f t="shared" ca="1" si="29"/>
        <v>5.7863013698630139</v>
      </c>
      <c r="G64" s="53">
        <f t="shared" ca="1" si="30"/>
        <v>2994.2136986301371</v>
      </c>
      <c r="H64" s="54">
        <f t="shared" ca="1" si="31"/>
        <v>517.46590909090912</v>
      </c>
    </row>
    <row r="65" spans="1:8" x14ac:dyDescent="0.2">
      <c r="A65" s="225" t="s">
        <v>50</v>
      </c>
      <c r="B65" s="50">
        <f t="shared" si="27"/>
        <v>45000</v>
      </c>
      <c r="C65" s="76">
        <v>1</v>
      </c>
      <c r="D65" s="50">
        <f t="shared" si="28"/>
        <v>12</v>
      </c>
      <c r="E65" s="224">
        <f ca="1">'Agent YTD Summary'!$P$8</f>
        <v>0.48219178082191783</v>
      </c>
      <c r="F65" s="52">
        <f t="shared" ca="1" si="29"/>
        <v>5.7863013698630139</v>
      </c>
      <c r="G65" s="53">
        <f t="shared" ca="1" si="30"/>
        <v>44994.213698630134</v>
      </c>
      <c r="H65" s="54">
        <f t="shared" ca="1" si="31"/>
        <v>7775.9886363636351</v>
      </c>
    </row>
    <row r="66" spans="1:8" x14ac:dyDescent="0.2">
      <c r="A66" s="117"/>
      <c r="B66" s="50">
        <f t="shared" si="27"/>
        <v>0</v>
      </c>
      <c r="C66" s="76"/>
      <c r="D66" s="50">
        <f t="shared" si="28"/>
        <v>0</v>
      </c>
      <c r="E66" s="224">
        <f ca="1">'Agent YTD Summary'!$P$8</f>
        <v>0.48219178082191783</v>
      </c>
      <c r="F66" s="52">
        <f t="shared" ca="1" si="29"/>
        <v>0</v>
      </c>
      <c r="G66" s="53">
        <f t="shared" ref="G66:G67" ca="1" si="32">B66-F66</f>
        <v>0</v>
      </c>
      <c r="H66" s="54" t="e">
        <f t="shared" ref="H66:H67" ca="1" si="33">(G66/F66)</f>
        <v>#DIV/0!</v>
      </c>
    </row>
    <row r="67" spans="1:8" x14ac:dyDescent="0.2">
      <c r="A67" s="117"/>
      <c r="B67" s="50">
        <f t="shared" si="27"/>
        <v>0</v>
      </c>
      <c r="C67" s="76"/>
      <c r="D67" s="50">
        <f t="shared" si="28"/>
        <v>0</v>
      </c>
      <c r="E67" s="224">
        <f ca="1">'Agent YTD Summary'!$P$8</f>
        <v>0.48219178082191783</v>
      </c>
      <c r="F67" s="52">
        <f t="shared" ca="1" si="29"/>
        <v>0</v>
      </c>
      <c r="G67" s="53">
        <f t="shared" ca="1" si="32"/>
        <v>0</v>
      </c>
      <c r="H67" s="54" t="e">
        <f t="shared" ca="1" si="33"/>
        <v>#DIV/0!</v>
      </c>
    </row>
    <row r="68" spans="1:8" x14ac:dyDescent="0.2">
      <c r="A68" s="55" t="s">
        <v>257</v>
      </c>
      <c r="B68" s="56">
        <f>SUM(B61:B65)</f>
        <v>94040</v>
      </c>
      <c r="C68" s="56">
        <f>SUM(C61:C65)</f>
        <v>2558</v>
      </c>
      <c r="D68" s="56">
        <f>SUM(D61:D65)</f>
        <v>30696</v>
      </c>
      <c r="E68" s="57"/>
      <c r="F68" s="58">
        <f ca="1">SUM(F61:F65)</f>
        <v>14801.358904109589</v>
      </c>
      <c r="G68" s="59">
        <f t="shared" ca="1" si="30"/>
        <v>79238.641095890416</v>
      </c>
      <c r="H68" s="60">
        <f t="shared" ca="1" si="31"/>
        <v>5.3534706920652972</v>
      </c>
    </row>
    <row r="69" spans="1:8" x14ac:dyDescent="0.2">
      <c r="B69" s="50"/>
      <c r="C69" s="50"/>
      <c r="D69" s="50"/>
      <c r="E69" s="51"/>
      <c r="F69" s="52"/>
      <c r="G69" s="53"/>
      <c r="H69" s="54"/>
    </row>
    <row r="70" spans="1:8" s="229" customFormat="1" ht="17" thickBot="1" x14ac:dyDescent="0.25">
      <c r="A70" s="230" t="s">
        <v>6</v>
      </c>
      <c r="B70" s="227">
        <f>B40+B57+B68</f>
        <v>252798.55</v>
      </c>
      <c r="C70" s="227">
        <f>D70/12</f>
        <v>17732.083333333332</v>
      </c>
      <c r="D70" s="227">
        <f>(D68+H57+D40)</f>
        <v>212785</v>
      </c>
      <c r="E70" s="227"/>
      <c r="F70" s="227">
        <f ca="1">F40+I57+F68</f>
        <v>100712.53698630138</v>
      </c>
      <c r="G70" s="227">
        <f ca="1">G40+J57+G68</f>
        <v>152086.01301369863</v>
      </c>
      <c r="H70" s="228">
        <f ca="1">(G70/F70)</f>
        <v>1.5101001083349228</v>
      </c>
    </row>
    <row r="71" spans="1:8" ht="16" thickTop="1" x14ac:dyDescent="0.2">
      <c r="B71" s="1"/>
      <c r="C71" s="1"/>
      <c r="D71" s="1"/>
      <c r="E71" s="1"/>
    </row>
  </sheetData>
  <sheetProtection sheet="1" objects="1" scenarios="1" selectLockedCells="1"/>
  <mergeCells count="4">
    <mergeCell ref="A1:K1"/>
    <mergeCell ref="A2:A3"/>
    <mergeCell ref="B2:F2"/>
    <mergeCell ref="G2:K2"/>
  </mergeCells>
  <conditionalFormatting sqref="A4:A27">
    <cfRule type="cellIs" dxfId="7" priority="4" operator="equal">
      <formula>0</formula>
    </cfRule>
  </conditionalFormatting>
  <conditionalFormatting sqref="E44:E56 I44:K56">
    <cfRule type="containsErrors" dxfId="6" priority="2">
      <formula>ISERROR(E44)</formula>
    </cfRule>
  </conditionalFormatting>
  <conditionalFormatting sqref="G33:H40">
    <cfRule type="cellIs" dxfId="5" priority="6" operator="lessThan">
      <formula>0</formula>
    </cfRule>
  </conditionalFormatting>
  <conditionalFormatting sqref="G61:H70">
    <cfRule type="cellIs" dxfId="4" priority="5" operator="lessThan">
      <formula>0</formula>
    </cfRule>
  </conditionalFormatting>
  <conditionalFormatting sqref="H33:H39">
    <cfRule type="containsErrors" dxfId="3" priority="3">
      <formula>ISERROR(H33)</formula>
    </cfRule>
  </conditionalFormatting>
  <conditionalFormatting sqref="H61:H67">
    <cfRule type="containsErrors" dxfId="2" priority="1">
      <formula>ISERROR(H61)</formula>
    </cfRule>
  </conditionalFormatting>
  <conditionalFormatting sqref="J44:J56">
    <cfRule type="cellIs" dxfId="1" priority="8" operator="lessThan">
      <formula>0</formula>
    </cfRule>
  </conditionalFormatting>
  <conditionalFormatting sqref="K44:K57">
    <cfRule type="cellIs" dxfId="0" priority="7" operator="lessThan">
      <formula>0</formula>
    </cfRule>
  </conditionalFormatting>
  <pageMargins left="0.7" right="0.7" top="0.75" bottom="0.75" header="0.3" footer="0.3"/>
  <pageSetup orientation="portrait" verticalDpi="597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Data Source</vt:lpstr>
      <vt:lpstr>Agent YTD Summary</vt:lpstr>
      <vt:lpstr>CSR YTD Summary</vt:lpstr>
      <vt:lpstr>2023 Business Log</vt:lpstr>
      <vt:lpstr>Pending Service Log</vt:lpstr>
      <vt:lpstr>Lost Business</vt:lpstr>
      <vt:lpstr>Internal Transfer</vt:lpstr>
      <vt:lpstr>Marketing ROI</vt:lpstr>
      <vt:lpstr>'Agent YTD Summary'!Print_Area</vt:lpstr>
      <vt:lpstr>'CSR YTD Summary'!Print_Area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Deiter</dc:creator>
  <cp:lastModifiedBy>Microsoft Office User</cp:lastModifiedBy>
  <cp:lastPrinted>2023-05-11T18:00:36Z</cp:lastPrinted>
  <dcterms:created xsi:type="dcterms:W3CDTF">2021-10-27T16:54:16Z</dcterms:created>
  <dcterms:modified xsi:type="dcterms:W3CDTF">2023-06-26T18:12:23Z</dcterms:modified>
</cp:coreProperties>
</file>